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lexisrose/Dropbox/Centre Stage Committee/Pitches/2022 Pitch Process/"/>
    </mc:Choice>
  </mc:AlternateContent>
  <xr:revisionPtr revIDLastSave="0" documentId="8_{B2E90C7C-8AFC-FD49-8EBF-1455CD692B3D}" xr6:coauthVersionLast="47" xr6:coauthVersionMax="47" xr10:uidLastSave="{00000000-0000-0000-0000-000000000000}"/>
  <bookViews>
    <workbookView xWindow="49560" yWindow="1860" windowWidth="24240" windowHeight="13740" tabRatio="836" xr2:uid="{00000000-000D-0000-FFFF-FFFF00000000}"/>
  </bookViews>
  <sheets>
    <sheet name="Welcome" sheetId="26" r:id="rId1"/>
    <sheet name="Pitch Budget" sheetId="28" r:id="rId2"/>
    <sheet name="Payment Tracking" sheetId="19" state="hidden" r:id="rId3"/>
    <sheet name="INCOME" sheetId="29" r:id="rId4"/>
    <sheet name="1. Ticket Sales" sheetId="31" r:id="rId5"/>
    <sheet name="2. Participation Fees" sheetId="37" r:id="rId6"/>
    <sheet name="3. Programme Sales" sheetId="38" r:id="rId7"/>
    <sheet name="4. Programme Ads" sheetId="40" r:id="rId8"/>
    <sheet name="5. Sponsorship" sheetId="41" r:id="rId9"/>
    <sheet name="6. Fundraising Events" sheetId="42" r:id="rId10"/>
    <sheet name="7. Donations" sheetId="43" r:id="rId11"/>
    <sheet name="EXPENDITURE" sheetId="44" r:id="rId12"/>
    <sheet name="1-3 Venue Rights Scores" sheetId="45" r:id="rId13"/>
    <sheet name="4. Band" sheetId="25" r:id="rId14"/>
    <sheet name="5. - 9. Set Lights etc" sheetId="48" r:id="rId15"/>
    <sheet name="10. Transport" sheetId="49" r:id="rId16"/>
    <sheet name="11. Marketing" sheetId="50" r:id="rId17"/>
    <sheet name="12. Rehearsal Venue" sheetId="51" r:id="rId18"/>
    <sheet name="Participation fees" sheetId="8" state="hidden" r:id="rId19"/>
    <sheet name="Programme Ads" sheetId="16" state="hidden" r:id="rId20"/>
    <sheet name="Ticket Income_Budget" sheetId="11" state="hidden" r:id="rId21"/>
    <sheet name="Income Budget Info" sheetId="9" state="hidden" r:id="rId22"/>
    <sheet name="Rehearsal Space_Budget" sheetId="12" state="hidden" r:id="rId23"/>
    <sheet name="Rehearsal Space_Actuals" sheetId="13" state="hidden" r:id="rId24"/>
    <sheet name="Sound" sheetId="18" state="hidden" r:id="rId25"/>
    <sheet name="Scenario" sheetId="15" state="hidden" r:id="rId26"/>
  </sheets>
  <externalReferences>
    <externalReference r:id="rId27"/>
  </externalReferences>
  <definedNames>
    <definedName name="_xlnm._FilterDatabase" localSheetId="18" hidden="1">'Participation fees'!$A$3:$G$34</definedName>
    <definedName name="_xlnm._FilterDatabase" localSheetId="23" hidden="1">'Rehearsal Space_Actuals'!$A$2:$O$41</definedName>
    <definedName name="_xlnm._FilterDatabase" localSheetId="22" hidden="1">'Rehearsal Space_Budget'!$A$2:$H$41</definedName>
    <definedName name="Expenditure" localSheetId="12">[1]Budget!$A$4:$A$17</definedName>
    <definedName name="Expenditure" localSheetId="4">[1]Budget!$A$4:$A$17</definedName>
    <definedName name="Expenditure" localSheetId="15">[1]Budget!$A$4:$A$17</definedName>
    <definedName name="Expenditure" localSheetId="16">[1]Budget!$A$4:$A$17</definedName>
    <definedName name="Expenditure" localSheetId="17">[1]Budget!$A$4:$A$17</definedName>
    <definedName name="Expenditure" localSheetId="5">[1]Budget!$A$4:$A$17</definedName>
    <definedName name="Expenditure" localSheetId="6">[1]Budget!$A$4:$A$17</definedName>
    <definedName name="Expenditure" localSheetId="7">[1]Budget!$A$4:$A$17</definedName>
    <definedName name="Expenditure" localSheetId="14">[1]Budget!$A$4:$A$17</definedName>
    <definedName name="Expenditure" localSheetId="8">[1]Budget!$A$4:$A$17</definedName>
    <definedName name="Expenditure" localSheetId="9">[1]Budget!$A$4:$A$17</definedName>
    <definedName name="Expenditure" localSheetId="10">[1]Budget!$A$4:$A$17</definedName>
    <definedName name="Expenditure" localSheetId="1">#REF!</definedName>
    <definedName name="Expenditure">#REF!</definedName>
    <definedName name="Income" localSheetId="12">[1]Budget!$H$4:$H$12</definedName>
    <definedName name="Income" localSheetId="4">[1]Budget!$H$4:$H$12</definedName>
    <definedName name="Income" localSheetId="15">[1]Budget!$H$4:$H$12</definedName>
    <definedName name="Income" localSheetId="16">[1]Budget!$H$4:$H$12</definedName>
    <definedName name="Income" localSheetId="17">[1]Budget!$H$4:$H$12</definedName>
    <definedName name="Income" localSheetId="5">[1]Budget!$H$4:$H$12</definedName>
    <definedName name="Income" localSheetId="6">[1]Budget!$H$4:$H$12</definedName>
    <definedName name="Income" localSheetId="7">[1]Budget!$H$4:$H$12</definedName>
    <definedName name="Income" localSheetId="14">[1]Budget!$H$4:$H$12</definedName>
    <definedName name="Income" localSheetId="8">[1]Budget!$H$4:$H$12</definedName>
    <definedName name="Income" localSheetId="9">[1]Budget!$H$4:$H$12</definedName>
    <definedName name="Income" localSheetId="10">[1]Budget!$H$4:$H$12</definedName>
    <definedName name="Income" localSheetId="1">#REF!</definedName>
    <definedName name="Inco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50" l="1"/>
  <c r="J12" i="38" l="1"/>
  <c r="J11" i="38" l="1"/>
  <c r="J13" i="38" l="1"/>
  <c r="J15" i="38" s="1"/>
  <c r="B4" i="38" s="1"/>
  <c r="C28" i="28"/>
  <c r="C27" i="28"/>
  <c r="C26" i="28"/>
  <c r="C25" i="28"/>
  <c r="C24" i="28"/>
  <c r="C23" i="28"/>
  <c r="C22" i="28"/>
  <c r="C21" i="28"/>
  <c r="B4" i="25"/>
  <c r="C20" i="28" s="1"/>
  <c r="C19" i="28"/>
  <c r="C17" i="28" l="1"/>
  <c r="C14" i="28"/>
  <c r="C13" i="28"/>
  <c r="C12" i="28"/>
  <c r="C11" i="28"/>
  <c r="C10" i="28"/>
  <c r="B11" i="37"/>
  <c r="C9" i="28" s="1"/>
  <c r="D8" i="31" l="1"/>
  <c r="E8" i="31"/>
  <c r="F8" i="31"/>
  <c r="G8" i="31"/>
  <c r="H8" i="31"/>
  <c r="I8" i="31"/>
  <c r="J8" i="31"/>
  <c r="L8" i="31" s="1"/>
  <c r="D9" i="31"/>
  <c r="E9" i="31"/>
  <c r="F9" i="31"/>
  <c r="G9" i="31"/>
  <c r="H9" i="31"/>
  <c r="I9" i="31"/>
  <c r="D10" i="31"/>
  <c r="E10" i="31"/>
  <c r="F10" i="31"/>
  <c r="G10" i="31"/>
  <c r="H10" i="31"/>
  <c r="I10" i="31"/>
  <c r="D11" i="31"/>
  <c r="E11" i="31"/>
  <c r="F11" i="31"/>
  <c r="G11" i="31"/>
  <c r="H11" i="31"/>
  <c r="I11" i="31"/>
  <c r="D12" i="31"/>
  <c r="E12" i="31"/>
  <c r="F12" i="31"/>
  <c r="G12" i="31"/>
  <c r="H12" i="31"/>
  <c r="I12" i="31"/>
  <c r="I14" i="31" s="1"/>
  <c r="J13" i="31"/>
  <c r="L13" i="31" s="1"/>
  <c r="M13" i="31" s="1"/>
  <c r="C14" i="31"/>
  <c r="E3" i="15"/>
  <c r="F3" i="15" s="1"/>
  <c r="G3" i="15" s="1"/>
  <c r="H3" i="15" s="1"/>
  <c r="I3" i="15" s="1"/>
  <c r="E7" i="15"/>
  <c r="G14" i="31"/>
  <c r="R8" i="26"/>
  <c r="Q8" i="26"/>
  <c r="P8" i="26"/>
  <c r="O8" i="26"/>
  <c r="B122" i="18"/>
  <c r="J7" i="19"/>
  <c r="J10" i="19"/>
  <c r="C19" i="19"/>
  <c r="C18" i="19"/>
  <c r="C17" i="19"/>
  <c r="C16" i="19"/>
  <c r="C15" i="19"/>
  <c r="C14" i="19"/>
  <c r="J9" i="19"/>
  <c r="C20" i="19"/>
  <c r="J15" i="19"/>
  <c r="C8" i="19"/>
  <c r="J14" i="19"/>
  <c r="J13" i="19"/>
  <c r="J12" i="19"/>
  <c r="C7" i="19"/>
  <c r="J17" i="19"/>
  <c r="C6" i="19"/>
  <c r="J16" i="19"/>
  <c r="J6" i="19"/>
  <c r="C5" i="19"/>
  <c r="C3" i="19" s="1"/>
  <c r="C23" i="19" s="1"/>
  <c r="J5" i="19"/>
  <c r="D24" i="19" s="1"/>
  <c r="J8" i="19"/>
  <c r="J18" i="19"/>
  <c r="B8" i="18"/>
  <c r="B121" i="18" s="1"/>
  <c r="B29" i="18"/>
  <c r="B123" i="18" s="1"/>
  <c r="B59" i="18"/>
  <c r="B124" i="18" s="1"/>
  <c r="B66" i="18"/>
  <c r="B125" i="18" s="1"/>
  <c r="B84" i="18"/>
  <c r="B126" i="18" s="1"/>
  <c r="B93" i="18"/>
  <c r="B127" i="18" s="1"/>
  <c r="B100" i="18"/>
  <c r="B128" i="18" s="1"/>
  <c r="B104" i="18"/>
  <c r="B129" i="18" s="1"/>
  <c r="B109" i="18"/>
  <c r="B113" i="18"/>
  <c r="B131" i="18" s="1"/>
  <c r="B118" i="18"/>
  <c r="B132" i="18" s="1"/>
  <c r="A121" i="18"/>
  <c r="A123" i="18"/>
  <c r="A124" i="18"/>
  <c r="A125" i="18"/>
  <c r="A126" i="18"/>
  <c r="A127" i="18"/>
  <c r="A128" i="18"/>
  <c r="A129" i="18"/>
  <c r="A130" i="18"/>
  <c r="B130" i="18"/>
  <c r="A131" i="18"/>
  <c r="A132" i="18"/>
  <c r="B141" i="18"/>
  <c r="B142" i="18"/>
  <c r="B151" i="18" s="1"/>
  <c r="C151" i="18" s="1"/>
  <c r="A148" i="18"/>
  <c r="A150" i="18"/>
  <c r="A151" i="18"/>
  <c r="C154" i="18"/>
  <c r="C158" i="18" s="1"/>
  <c r="D154" i="18"/>
  <c r="B150" i="18"/>
  <c r="C150" i="18" s="1"/>
  <c r="C12" i="19"/>
  <c r="C15" i="8"/>
  <c r="B15" i="8" s="1"/>
  <c r="C13" i="8"/>
  <c r="B13" i="8" s="1"/>
  <c r="F2" i="8"/>
  <c r="C2" i="8"/>
  <c r="B9" i="8"/>
  <c r="B6" i="8"/>
  <c r="B19" i="8"/>
  <c r="B4" i="8"/>
  <c r="B20" i="8"/>
  <c r="B8" i="8"/>
  <c r="B12" i="8"/>
  <c r="B29" i="8"/>
  <c r="B16" i="8"/>
  <c r="B21" i="8"/>
  <c r="B22" i="8"/>
  <c r="B23" i="8"/>
  <c r="B24" i="8"/>
  <c r="B26" i="8"/>
  <c r="B18" i="8"/>
  <c r="B33" i="8"/>
  <c r="B5" i="8"/>
  <c r="B34" i="8"/>
  <c r="B27" i="8"/>
  <c r="B25" i="8"/>
  <c r="B14" i="8"/>
  <c r="B30" i="8"/>
  <c r="B10" i="8"/>
  <c r="B11" i="8"/>
  <c r="B31" i="8"/>
  <c r="B32" i="8"/>
  <c r="B7" i="8"/>
  <c r="F11" i="13"/>
  <c r="G11" i="13"/>
  <c r="F26" i="13"/>
  <c r="F17" i="13"/>
  <c r="F38" i="13"/>
  <c r="F40" i="13"/>
  <c r="F39" i="13"/>
  <c r="F37" i="13"/>
  <c r="F36" i="13"/>
  <c r="F35" i="13"/>
  <c r="H7" i="11"/>
  <c r="J7" i="11" s="1"/>
  <c r="D41" i="13"/>
  <c r="F41" i="13" s="1"/>
  <c r="H41" i="13" s="1"/>
  <c r="D40" i="13"/>
  <c r="E40" i="13" s="1"/>
  <c r="H40" i="13" s="1"/>
  <c r="D39" i="13"/>
  <c r="E39" i="13" s="1"/>
  <c r="H39" i="13" s="1"/>
  <c r="D38" i="13"/>
  <c r="E38" i="13" s="1"/>
  <c r="H38" i="13" s="1"/>
  <c r="D37" i="13"/>
  <c r="E37" i="13" s="1"/>
  <c r="H37" i="13" s="1"/>
  <c r="D36" i="13"/>
  <c r="E36" i="13" s="1"/>
  <c r="H36" i="13" s="1"/>
  <c r="D35" i="13"/>
  <c r="E35" i="13" s="1"/>
  <c r="D34" i="13"/>
  <c r="E34" i="13" s="1"/>
  <c r="D33" i="13"/>
  <c r="F33" i="13" s="1"/>
  <c r="D32" i="13"/>
  <c r="E32" i="13" s="1"/>
  <c r="D31" i="13"/>
  <c r="E31" i="13" s="1"/>
  <c r="F31" i="13"/>
  <c r="D30" i="13"/>
  <c r="F30" i="13" s="1"/>
  <c r="D29" i="13"/>
  <c r="E29" i="13" s="1"/>
  <c r="H29" i="13" s="1"/>
  <c r="D28" i="13"/>
  <c r="F28" i="13" s="1"/>
  <c r="D27" i="13"/>
  <c r="E27" i="13" s="1"/>
  <c r="F27" i="13"/>
  <c r="D26" i="13"/>
  <c r="E26" i="13" s="1"/>
  <c r="D25" i="13"/>
  <c r="F25" i="13" s="1"/>
  <c r="D24" i="13"/>
  <c r="D23" i="13"/>
  <c r="F23" i="13"/>
  <c r="D22" i="13"/>
  <c r="F22" i="13" s="1"/>
  <c r="D21" i="13"/>
  <c r="F21" i="13" s="1"/>
  <c r="D20" i="13"/>
  <c r="E20" i="13" s="1"/>
  <c r="D19" i="13"/>
  <c r="E19" i="13" s="1"/>
  <c r="D18" i="13"/>
  <c r="D17" i="13"/>
  <c r="E17" i="13"/>
  <c r="H17" i="13" s="1"/>
  <c r="D16" i="13"/>
  <c r="F16" i="13" s="1"/>
  <c r="D15" i="13"/>
  <c r="F15" i="13" s="1"/>
  <c r="D14" i="13"/>
  <c r="F14" i="13" s="1"/>
  <c r="D13" i="13"/>
  <c r="E13" i="13" s="1"/>
  <c r="H13" i="13" s="1"/>
  <c r="D12" i="13"/>
  <c r="E12" i="13" s="1"/>
  <c r="H12" i="13" s="1"/>
  <c r="D11" i="13"/>
  <c r="E11" i="13" s="1"/>
  <c r="D10" i="13"/>
  <c r="E10" i="13" s="1"/>
  <c r="H10" i="13" s="1"/>
  <c r="D9" i="13"/>
  <c r="E9" i="13" s="1"/>
  <c r="H9" i="13" s="1"/>
  <c r="D8" i="13"/>
  <c r="F8" i="13" s="1"/>
  <c r="D7" i="13"/>
  <c r="G7" i="13" s="1"/>
  <c r="D6" i="13"/>
  <c r="E6" i="13" s="1"/>
  <c r="D3" i="13"/>
  <c r="G3" i="13" s="1"/>
  <c r="D4" i="13"/>
  <c r="E4" i="13" s="1"/>
  <c r="D5" i="13"/>
  <c r="G5" i="13"/>
  <c r="D41" i="12"/>
  <c r="E41" i="12" s="1"/>
  <c r="D40" i="12"/>
  <c r="E40" i="12" s="1"/>
  <c r="D39" i="12"/>
  <c r="E39" i="12" s="1"/>
  <c r="D38" i="12"/>
  <c r="E38" i="12" s="1"/>
  <c r="D37" i="12"/>
  <c r="E37" i="12" s="1"/>
  <c r="D36" i="12"/>
  <c r="E36" i="12" s="1"/>
  <c r="D35" i="12"/>
  <c r="E35" i="12" s="1"/>
  <c r="D34" i="12"/>
  <c r="E34" i="12" s="1"/>
  <c r="C34" i="12"/>
  <c r="C31" i="12" s="1"/>
  <c r="C28" i="12" s="1"/>
  <c r="C25" i="12" s="1"/>
  <c r="C22" i="12" s="1"/>
  <c r="C19" i="12" s="1"/>
  <c r="C16" i="12" s="1"/>
  <c r="C13" i="12" s="1"/>
  <c r="C10" i="12" s="1"/>
  <c r="D33" i="12"/>
  <c r="E33" i="12" s="1"/>
  <c r="C33" i="12"/>
  <c r="C30" i="12" s="1"/>
  <c r="C27" i="12" s="1"/>
  <c r="C24" i="12" s="1"/>
  <c r="C21" i="12" s="1"/>
  <c r="C18" i="12" s="1"/>
  <c r="C15" i="12" s="1"/>
  <c r="C12" i="12" s="1"/>
  <c r="C9" i="12" s="1"/>
  <c r="D32" i="12"/>
  <c r="E32" i="12" s="1"/>
  <c r="C32" i="12"/>
  <c r="C29" i="12" s="1"/>
  <c r="C26" i="12" s="1"/>
  <c r="C23" i="12" s="1"/>
  <c r="C20" i="12" s="1"/>
  <c r="C17" i="12" s="1"/>
  <c r="C14" i="12" s="1"/>
  <c r="C11" i="12" s="1"/>
  <c r="C8" i="12" s="1"/>
  <c r="D31" i="12"/>
  <c r="E31" i="12" s="1"/>
  <c r="D30" i="12"/>
  <c r="E30" i="12" s="1"/>
  <c r="D29" i="12"/>
  <c r="E29" i="12" s="1"/>
  <c r="D28" i="12"/>
  <c r="E28" i="12" s="1"/>
  <c r="D27" i="12"/>
  <c r="E27" i="12" s="1"/>
  <c r="D26" i="12"/>
  <c r="E26" i="12" s="1"/>
  <c r="D25" i="12"/>
  <c r="E25" i="12" s="1"/>
  <c r="D24" i="12"/>
  <c r="E24" i="12" s="1"/>
  <c r="D23" i="12"/>
  <c r="E23" i="12" s="1"/>
  <c r="D22" i="12"/>
  <c r="E22" i="12"/>
  <c r="D21" i="12"/>
  <c r="E21" i="12" s="1"/>
  <c r="D20" i="12"/>
  <c r="E20" i="12" s="1"/>
  <c r="D19" i="12"/>
  <c r="E19" i="12"/>
  <c r="D18" i="12"/>
  <c r="E18" i="12" s="1"/>
  <c r="D17" i="12"/>
  <c r="E17" i="12" s="1"/>
  <c r="D16" i="12"/>
  <c r="E16" i="12" s="1"/>
  <c r="D15" i="12"/>
  <c r="E15" i="12" s="1"/>
  <c r="D14" i="12"/>
  <c r="E14" i="12" s="1"/>
  <c r="D13" i="12"/>
  <c r="E13" i="12" s="1"/>
  <c r="D12" i="12"/>
  <c r="E12" i="12" s="1"/>
  <c r="D11" i="12"/>
  <c r="E11" i="12" s="1"/>
  <c r="D10" i="12"/>
  <c r="E10" i="12" s="1"/>
  <c r="D9" i="12"/>
  <c r="E9" i="12" s="1"/>
  <c r="D8" i="12"/>
  <c r="E8" i="12"/>
  <c r="D7" i="12"/>
  <c r="E7" i="12" s="1"/>
  <c r="D6" i="12"/>
  <c r="E6" i="12"/>
  <c r="D5" i="12"/>
  <c r="E5" i="12" s="1"/>
  <c r="D4" i="12"/>
  <c r="E4" i="12" s="1"/>
  <c r="D3" i="12"/>
  <c r="E3" i="12" s="1"/>
  <c r="H6" i="11"/>
  <c r="J6" i="11" s="1"/>
  <c r="G5" i="11"/>
  <c r="G8" i="11" s="1"/>
  <c r="F5" i="11"/>
  <c r="F8" i="11"/>
  <c r="E5" i="11"/>
  <c r="E8" i="11" s="1"/>
  <c r="D5" i="11"/>
  <c r="D8" i="11" s="1"/>
  <c r="C5" i="11"/>
  <c r="C8" i="11" s="1"/>
  <c r="B5" i="11"/>
  <c r="B8" i="11" s="1"/>
  <c r="H4" i="11"/>
  <c r="J4" i="11" s="1"/>
  <c r="H3" i="11"/>
  <c r="J3" i="11" s="1"/>
  <c r="H2" i="11"/>
  <c r="J2" i="11" s="1"/>
  <c r="L2" i="11" s="1"/>
  <c r="E24" i="13"/>
  <c r="F24" i="13"/>
  <c r="E18" i="13"/>
  <c r="H18" i="13" s="1"/>
  <c r="F18" i="13"/>
  <c r="E14" i="13"/>
  <c r="E23" i="13"/>
  <c r="E3" i="13"/>
  <c r="H3" i="13" s="1"/>
  <c r="E5" i="13"/>
  <c r="H5" i="13" s="1"/>
  <c r="D9" i="9"/>
  <c r="E9" i="9" s="1"/>
  <c r="F9" i="9" s="1"/>
  <c r="D8" i="9"/>
  <c r="E8" i="9" s="1"/>
  <c r="D23" i="9"/>
  <c r="D17" i="9"/>
  <c r="C11" i="9"/>
  <c r="D10" i="9"/>
  <c r="E10" i="9" s="1"/>
  <c r="F10" i="9" s="1"/>
  <c r="D7" i="9"/>
  <c r="E7" i="9" s="1"/>
  <c r="F7" i="9" s="1"/>
  <c r="E15" i="13"/>
  <c r="O6" i="11"/>
  <c r="E7" i="13"/>
  <c r="H7" i="13" s="1"/>
  <c r="E28" i="13"/>
  <c r="G6" i="13"/>
  <c r="F29" i="13"/>
  <c r="C9" i="19"/>
  <c r="D23" i="19"/>
  <c r="O4" i="11" l="1"/>
  <c r="L4" i="11"/>
  <c r="H14" i="31"/>
  <c r="H23" i="13"/>
  <c r="E21" i="13"/>
  <c r="H21" i="13" s="1"/>
  <c r="H24" i="13"/>
  <c r="E16" i="13"/>
  <c r="H16" i="13" s="1"/>
  <c r="I3" i="13"/>
  <c r="H31" i="13"/>
  <c r="D11" i="9"/>
  <c r="E25" i="13"/>
  <c r="H25" i="13" s="1"/>
  <c r="H15" i="13"/>
  <c r="F14" i="31"/>
  <c r="E14" i="31"/>
  <c r="O7" i="11"/>
  <c r="M7" i="11"/>
  <c r="N7" i="11"/>
  <c r="H26" i="13"/>
  <c r="E33" i="13"/>
  <c r="H33" i="13" s="1"/>
  <c r="H11" i="13"/>
  <c r="F32" i="13"/>
  <c r="H32" i="13" s="1"/>
  <c r="B2" i="8"/>
  <c r="D2" i="8" s="1"/>
  <c r="J12" i="31"/>
  <c r="L12" i="31" s="1"/>
  <c r="M12" i="31" s="1"/>
  <c r="J11" i="31"/>
  <c r="L11" i="31" s="1"/>
  <c r="Q11" i="31" s="1"/>
  <c r="H8" i="11"/>
  <c r="H27" i="13"/>
  <c r="F20" i="13"/>
  <c r="H20" i="13" s="1"/>
  <c r="E8" i="13"/>
  <c r="H8" i="13" s="1"/>
  <c r="H28" i="13"/>
  <c r="J10" i="31"/>
  <c r="L10" i="31" s="1"/>
  <c r="O10" i="31" s="1"/>
  <c r="J9" i="31"/>
  <c r="L9" i="31" s="1"/>
  <c r="O9" i="31" s="1"/>
  <c r="I5" i="13"/>
  <c r="M4" i="11"/>
  <c r="G4" i="13"/>
  <c r="G1" i="13" s="1"/>
  <c r="H35" i="13"/>
  <c r="D14" i="31"/>
  <c r="E23" i="19"/>
  <c r="D25" i="19"/>
  <c r="E1" i="12"/>
  <c r="N2" i="11"/>
  <c r="K2" i="11"/>
  <c r="O2" i="11"/>
  <c r="D1" i="12"/>
  <c r="E11" i="9"/>
  <c r="E17" i="9" s="1"/>
  <c r="F17" i="9" s="1"/>
  <c r="F8" i="9"/>
  <c r="F11" i="9" s="1"/>
  <c r="H6" i="13"/>
  <c r="I6" i="13"/>
  <c r="L3" i="11"/>
  <c r="N3" i="11"/>
  <c r="O3" i="11"/>
  <c r="M3" i="11"/>
  <c r="K3" i="11"/>
  <c r="H4" i="13"/>
  <c r="M2" i="11"/>
  <c r="B133" i="18"/>
  <c r="O11" i="31"/>
  <c r="P11" i="31"/>
  <c r="N11" i="31"/>
  <c r="H5" i="11"/>
  <c r="J5" i="11" s="1"/>
  <c r="H14" i="13"/>
  <c r="N6" i="11"/>
  <c r="L6" i="11"/>
  <c r="M6" i="11"/>
  <c r="K6" i="11"/>
  <c r="O8" i="31"/>
  <c r="P8" i="31"/>
  <c r="Q8" i="31"/>
  <c r="R8" i="31"/>
  <c r="N8" i="31"/>
  <c r="M8" i="31"/>
  <c r="M10" i="31"/>
  <c r="R10" i="31"/>
  <c r="N10" i="31"/>
  <c r="P9" i="31"/>
  <c r="Q9" i="31"/>
  <c r="R9" i="31"/>
  <c r="N9" i="31"/>
  <c r="M9" i="31"/>
  <c r="E22" i="13"/>
  <c r="H22" i="13" s="1"/>
  <c r="E30" i="13"/>
  <c r="H30" i="13" s="1"/>
  <c r="B143" i="18"/>
  <c r="N13" i="31"/>
  <c r="R13" i="31"/>
  <c r="Q13" i="31"/>
  <c r="P13" i="31"/>
  <c r="O13" i="31"/>
  <c r="K7" i="11"/>
  <c r="D1" i="13"/>
  <c r="F34" i="13"/>
  <c r="H34" i="13" s="1"/>
  <c r="L7" i="11"/>
  <c r="F19" i="13"/>
  <c r="H19" i="13" s="1"/>
  <c r="F7" i="15"/>
  <c r="I7" i="13"/>
  <c r="N4" i="11"/>
  <c r="K4" i="11"/>
  <c r="J3" i="19"/>
  <c r="C24" i="19" s="1"/>
  <c r="I4" i="13" l="1"/>
  <c r="I6" i="8"/>
  <c r="C1" i="8"/>
  <c r="L14" i="31"/>
  <c r="N12" i="31"/>
  <c r="R12" i="31"/>
  <c r="R14" i="31" s="1"/>
  <c r="R16" i="31" s="1"/>
  <c r="O12" i="31"/>
  <c r="J14" i="31"/>
  <c r="Q12" i="31"/>
  <c r="Q10" i="31"/>
  <c r="Q14" i="31" s="1"/>
  <c r="Q16" i="31" s="1"/>
  <c r="P12" i="31"/>
  <c r="P10" i="31"/>
  <c r="M11" i="31"/>
  <c r="H1" i="13"/>
  <c r="F1" i="13"/>
  <c r="R11" i="31"/>
  <c r="C25" i="19"/>
  <c r="E24" i="19"/>
  <c r="E25" i="19" s="1"/>
  <c r="N14" i="31"/>
  <c r="N16" i="31" s="1"/>
  <c r="B137" i="18"/>
  <c r="B134" i="18"/>
  <c r="B135" i="18" s="1"/>
  <c r="P14" i="31"/>
  <c r="P16" i="31" s="1"/>
  <c r="O5" i="11"/>
  <c r="N5" i="11"/>
  <c r="L5" i="11"/>
  <c r="M5" i="11"/>
  <c r="K5" i="11"/>
  <c r="J8" i="11"/>
  <c r="G7" i="15"/>
  <c r="O14" i="31"/>
  <c r="O16" i="31" s="1"/>
  <c r="I1" i="13"/>
  <c r="M14" i="31"/>
  <c r="H27" i="31" s="1"/>
  <c r="E1" i="13"/>
  <c r="B148" i="18" l="1"/>
  <c r="B138" i="18"/>
  <c r="H7" i="15"/>
  <c r="C8" i="28"/>
  <c r="C15" i="28" s="1"/>
  <c r="M16" i="31"/>
  <c r="H31" i="31" s="1"/>
  <c r="B8" i="45" s="1"/>
  <c r="C18" i="28" s="1"/>
  <c r="O8" i="11"/>
  <c r="L8" i="11"/>
  <c r="N8" i="11"/>
  <c r="M8" i="11"/>
  <c r="K8" i="11"/>
  <c r="K11" i="11" s="1"/>
  <c r="C13" i="19" l="1"/>
  <c r="H2" i="15"/>
  <c r="H4" i="15" s="1"/>
  <c r="N9" i="11"/>
  <c r="N11" i="11"/>
  <c r="B149" i="18"/>
  <c r="C149" i="18" s="1"/>
  <c r="D149" i="18" s="1"/>
  <c r="B139" i="18"/>
  <c r="B145" i="18" s="1"/>
  <c r="C30" i="28"/>
  <c r="C33" i="28" s="1"/>
  <c r="C35" i="28" s="1"/>
  <c r="M9" i="11"/>
  <c r="M11" i="11"/>
  <c r="G2" i="15"/>
  <c r="G4" i="15" s="1"/>
  <c r="I7" i="15"/>
  <c r="L9" i="11"/>
  <c r="L11" i="11"/>
  <c r="F2" i="15"/>
  <c r="F4" i="15" s="1"/>
  <c r="O9" i="11"/>
  <c r="O11" i="11"/>
  <c r="I2" i="15"/>
  <c r="I4" i="15" s="1"/>
  <c r="C148" i="18"/>
  <c r="B152" i="18" l="1"/>
  <c r="B156" i="18" s="1"/>
  <c r="C26" i="19"/>
  <c r="N12" i="11"/>
  <c r="H6" i="15"/>
  <c r="H8" i="15" s="1"/>
  <c r="H10" i="15" s="1"/>
  <c r="H12" i="15" s="1"/>
  <c r="O12" i="11"/>
  <c r="I6" i="15"/>
  <c r="I8" i="15" s="1"/>
  <c r="I10" i="15" s="1"/>
  <c r="I12" i="15" s="1"/>
  <c r="G6" i="15"/>
  <c r="G8" i="15" s="1"/>
  <c r="G10" i="15" s="1"/>
  <c r="G12" i="15" s="1"/>
  <c r="M12" i="11"/>
  <c r="C152" i="18"/>
  <c r="C156" i="18" s="1"/>
  <c r="C159" i="18" s="1"/>
  <c r="D148" i="18"/>
  <c r="D152" i="18" s="1"/>
  <c r="D156" i="18" s="1"/>
  <c r="E2" i="15"/>
  <c r="E4" i="15" s="1"/>
  <c r="L12" i="11"/>
  <c r="F6" i="15"/>
  <c r="F8" i="15" s="1"/>
  <c r="F10" i="15" s="1"/>
  <c r="F12" i="15" s="1"/>
  <c r="E6" i="15" l="1"/>
  <c r="E8" i="15" s="1"/>
  <c r="E10" i="15" s="1"/>
  <c r="E12" i="15" s="1"/>
</calcChain>
</file>

<file path=xl/sharedStrings.xml><?xml version="1.0" encoding="utf-8"?>
<sst xmlns="http://schemas.openxmlformats.org/spreadsheetml/2006/main" count="915" uniqueCount="478">
  <si>
    <t>Venue</t>
  </si>
  <si>
    <t>Rights  / Licensing</t>
  </si>
  <si>
    <t>Sound</t>
  </si>
  <si>
    <t>Band</t>
  </si>
  <si>
    <t>Sponsorship</t>
  </si>
  <si>
    <t>Props</t>
  </si>
  <si>
    <t>Lighting</t>
  </si>
  <si>
    <t>Total</t>
  </si>
  <si>
    <t>Rehearsal Venue</t>
  </si>
  <si>
    <t>Transport</t>
  </si>
  <si>
    <t>Price</t>
  </si>
  <si>
    <t>Name</t>
  </si>
  <si>
    <t>Amount paid</t>
  </si>
  <si>
    <t>Payment method</t>
  </si>
  <si>
    <t>Participation fees</t>
  </si>
  <si>
    <t>Set</t>
  </si>
  <si>
    <t>Marketing</t>
  </si>
  <si>
    <t>Expenditure</t>
  </si>
  <si>
    <t>Income</t>
  </si>
  <si>
    <t>Programme Income</t>
  </si>
  <si>
    <t>Ticket Income</t>
  </si>
  <si>
    <t>Number of Performances</t>
  </si>
  <si>
    <t>Sales Break Even point</t>
  </si>
  <si>
    <t>per Night</t>
  </si>
  <si>
    <t>per Run</t>
  </si>
  <si>
    <t>Full Capacity</t>
  </si>
  <si>
    <t>Break Even Seats</t>
  </si>
  <si>
    <t>Break Even Revenue</t>
  </si>
  <si>
    <t>Programs per seat</t>
  </si>
  <si>
    <t>Seats per program</t>
  </si>
  <si>
    <t>Script &amp; Score Hire</t>
  </si>
  <si>
    <t>Notes</t>
  </si>
  <si>
    <t>Other</t>
  </si>
  <si>
    <t>Fundraising events</t>
  </si>
  <si>
    <t>Wardrobe</t>
  </si>
  <si>
    <t>Ticket Sales</t>
  </si>
  <si>
    <t>Participation Fees</t>
  </si>
  <si>
    <t>Cast Size</t>
  </si>
  <si>
    <t>Fee per cast member</t>
  </si>
  <si>
    <t>Date paid</t>
  </si>
  <si>
    <t>Band A</t>
  </si>
  <si>
    <t>Band B</t>
  </si>
  <si>
    <t>Band C</t>
  </si>
  <si>
    <t>Band D</t>
  </si>
  <si>
    <t>Donations</t>
  </si>
  <si>
    <t>Contingency</t>
  </si>
  <si>
    <t>Programme Ads</t>
  </si>
  <si>
    <t>Programme Sales</t>
  </si>
  <si>
    <t>Tues</t>
  </si>
  <si>
    <t>Weds</t>
  </si>
  <si>
    <t>Thurs</t>
  </si>
  <si>
    <t>Fri</t>
  </si>
  <si>
    <t>Matinee</t>
  </si>
  <si>
    <t>Sat Eve</t>
  </si>
  <si>
    <t>Total Run</t>
  </si>
  <si>
    <t>Seat Price</t>
  </si>
  <si>
    <t>Total Potential Income</t>
  </si>
  <si>
    <t>House</t>
  </si>
  <si>
    <t>Comps</t>
  </si>
  <si>
    <t>Rights/Licensing</t>
  </si>
  <si>
    <t>Ex Rehearsal Space</t>
  </si>
  <si>
    <t>Show</t>
  </si>
  <si>
    <t>Day</t>
  </si>
  <si>
    <t>Date</t>
  </si>
  <si>
    <t>Hours</t>
  </si>
  <si>
    <t>Start</t>
  </si>
  <si>
    <t>Fin</t>
  </si>
  <si>
    <t>Dance/Sing</t>
  </si>
  <si>
    <t>Fame</t>
  </si>
  <si>
    <t>Thursday</t>
  </si>
  <si>
    <t>AUDITIONS</t>
  </si>
  <si>
    <t xml:space="preserve">Friday </t>
  </si>
  <si>
    <t>Saturday</t>
  </si>
  <si>
    <t>Recalls</t>
  </si>
  <si>
    <t>Note 3rd Dec is CS Masterclass and Xmas Drinks</t>
  </si>
  <si>
    <t>1st Rehearsal</t>
  </si>
  <si>
    <t>Tuesday</t>
  </si>
  <si>
    <t>Worst Case is £30/hr plus VAT</t>
  </si>
  <si>
    <t>Better Case is £25/hr plus VAT (our AMTA rate)</t>
  </si>
  <si>
    <t>Savings to come from Bishopsgate booking (max 10 rehearsals)</t>
  </si>
  <si>
    <t>Actuals</t>
  </si>
  <si>
    <t>Location</t>
  </si>
  <si>
    <t>Status</t>
  </si>
  <si>
    <t>Bishopsgate</t>
  </si>
  <si>
    <t>Booked &amp; Paid</t>
  </si>
  <si>
    <t>Amount</t>
  </si>
  <si>
    <t>Josef Weinberger</t>
  </si>
  <si>
    <t>Rehearsal Space</t>
  </si>
  <si>
    <t>Approved Income</t>
  </si>
  <si>
    <t>Approved Expenditure</t>
  </si>
  <si>
    <t>Tickets</t>
  </si>
  <si>
    <t>Fixed</t>
  </si>
  <si>
    <t>Rights</t>
  </si>
  <si>
    <t>Profit (Loss)</t>
  </si>
  <si>
    <t>Sell out</t>
  </si>
  <si>
    <t>Bishopsgate would be £30/hr</t>
  </si>
  <si>
    <t>Studio available at £15/hr</t>
  </si>
  <si>
    <t>Goss room available at £15/hr</t>
  </si>
  <si>
    <t>Studio avail at £15/hr until 2pm - then £30</t>
  </si>
  <si>
    <t>Studio avail at £15/hr btw 2-4, £30 otherwise</t>
  </si>
  <si>
    <t>studio avail at £15/hr until 9pm, £30 after</t>
  </si>
  <si>
    <t>studio avail at £15/hr until 4pm, £30 after</t>
  </si>
  <si>
    <t>BUDGET</t>
  </si>
  <si>
    <t>Approved Budget (Inc VAT)</t>
  </si>
  <si>
    <t>Forecast</t>
  </si>
  <si>
    <t>Actuals Variance to Budget</t>
  </si>
  <si>
    <t>Forecast Variance to Budget</t>
  </si>
  <si>
    <t>Studio at £30/hr</t>
  </si>
  <si>
    <t>Studio avail at £15/hr until 1.30pm - then £30/hr</t>
  </si>
  <si>
    <t>What are we doing</t>
  </si>
  <si>
    <t>Bishopsgate studio @ £15/hr</t>
  </si>
  <si>
    <t>1st Rehearsal Activities &amp; Hard work Vocals</t>
  </si>
  <si>
    <t>Vocals &amp; Dance (Hard Work)</t>
  </si>
  <si>
    <t>Blocking Scen iii</t>
  </si>
  <si>
    <t>Cant Keep it Down</t>
  </si>
  <si>
    <t>Hard Work, Lunch etc</t>
  </si>
  <si>
    <t>Band room &amp; tyrones rap</t>
  </si>
  <si>
    <t>Blocking for Lets Play &amp; Bring on Tomorrow</t>
  </si>
  <si>
    <t>everyone - big day</t>
  </si>
  <si>
    <t>Think of Meryl streep</t>
  </si>
  <si>
    <t>Mabels Prayer</t>
  </si>
  <si>
    <t>Pas de Deux</t>
  </si>
  <si>
    <t>In La (principles)</t>
  </si>
  <si>
    <t>Music Recap</t>
  </si>
  <si>
    <t>Dance Recap</t>
  </si>
  <si>
    <t>Act One</t>
  </si>
  <si>
    <t>Act Two</t>
  </si>
  <si>
    <t>Full Show run</t>
  </si>
  <si>
    <t>Stu's Full Show Fun Run</t>
  </si>
  <si>
    <t>Full Show Run</t>
  </si>
  <si>
    <t>Full Show Dress Run (No Makeup)</t>
  </si>
  <si>
    <t>All Students - Vocals - should be ok</t>
  </si>
  <si>
    <t>Camden</t>
  </si>
  <si>
    <t>Bishopsgate - Studio</t>
  </si>
  <si>
    <t>James Newall</t>
  </si>
  <si>
    <t>Stewart McGhee</t>
  </si>
  <si>
    <t>Dean James</t>
  </si>
  <si>
    <t>Glen Jordan</t>
  </si>
  <si>
    <t>Chris Cahill</t>
  </si>
  <si>
    <t>Charlie Houseago</t>
  </si>
  <si>
    <t>Jon Haines</t>
  </si>
  <si>
    <t>Trish Butterfield</t>
  </si>
  <si>
    <t>Claire Linney</t>
  </si>
  <si>
    <t>Yvette Shiel</t>
  </si>
  <si>
    <t>Sam Miller</t>
  </si>
  <si>
    <t>Nicole Seymour</t>
  </si>
  <si>
    <t>Laura Ellis</t>
  </si>
  <si>
    <t>Emma Newman</t>
  </si>
  <si>
    <t>Abi Drane</t>
  </si>
  <si>
    <t>Alan Taemur</t>
  </si>
  <si>
    <t>Andreas Hansen</t>
  </si>
  <si>
    <t>Arbie Baguious</t>
  </si>
  <si>
    <t>Ashlie Evason</t>
  </si>
  <si>
    <t>Becky Thomas</t>
  </si>
  <si>
    <t>Cristiana Paulo</t>
  </si>
  <si>
    <t>Emily Goodman</t>
  </si>
  <si>
    <t>Hannah Steiner</t>
  </si>
  <si>
    <t>Julia Vinolo</t>
  </si>
  <si>
    <t>Kate Winney</t>
  </si>
  <si>
    <t>Kob Yeboah</t>
  </si>
  <si>
    <t>Matt Cameron</t>
  </si>
  <si>
    <t>Peter Stonnell</t>
  </si>
  <si>
    <t>Ryan Duscha</t>
  </si>
  <si>
    <t>Vanessa Forte</t>
  </si>
  <si>
    <t>Verity Richards</t>
  </si>
  <si>
    <t>Amy Room, North London Music Academy</t>
  </si>
  <si>
    <t>Paid on Alexis Credit Card</t>
  </si>
  <si>
    <t>Principal Vocals</t>
  </si>
  <si>
    <t>Camden Lounge Studio 11-2, 3 - 4.30</t>
  </si>
  <si>
    <t>Camden Balcony Studio</t>
  </si>
  <si>
    <t>Sunday</t>
  </si>
  <si>
    <t>Bishopsgate - Goss</t>
  </si>
  <si>
    <t>to Bank</t>
  </si>
  <si>
    <t>Has pulled out</t>
  </si>
  <si>
    <t>Due</t>
  </si>
  <si>
    <t>to bank</t>
  </si>
  <si>
    <t>to PayPal</t>
  </si>
  <si>
    <t>£1.18 PayPal Fee taken</t>
  </si>
  <si>
    <t>2nd instalment date paid</t>
  </si>
  <si>
    <t>Piano Tuner</t>
  </si>
  <si>
    <t>CS pay Geoids balance</t>
  </si>
  <si>
    <t>Grand Total</t>
  </si>
  <si>
    <t>SEDOS (Music Stands &amp; CANS)</t>
  </si>
  <si>
    <t>Total on Sound Hire</t>
  </si>
  <si>
    <t>VAT</t>
  </si>
  <si>
    <t>Geoids</t>
  </si>
  <si>
    <t>CS</t>
  </si>
  <si>
    <t>Rio3224D Dante</t>
  </si>
  <si>
    <t xml:space="preserve">Total excluding Rio3224D Dante </t>
  </si>
  <si>
    <t>Total Incl VAT</t>
  </si>
  <si>
    <t>Transport Total</t>
  </si>
  <si>
    <t>Courier 1 London *Delivery* (Large) Mon - Fri / 9 -5</t>
  </si>
  <si>
    <t>Sales Total</t>
  </si>
  <si>
    <t>Sales</t>
  </si>
  <si>
    <t>Mains Cable Total</t>
  </si>
  <si>
    <t>12 5m 13A cable</t>
  </si>
  <si>
    <t>6 5m 4 Way 13A cable</t>
  </si>
  <si>
    <t>Mains Cable</t>
  </si>
  <si>
    <t>Data Cable Total</t>
  </si>
  <si>
    <t>2 30m CAT5 cable</t>
  </si>
  <si>
    <t>Data Cable</t>
  </si>
  <si>
    <t xml:space="preserve">Speaker Cable Total </t>
  </si>
  <si>
    <t>4 Speakon coupler, NL4 2 Week Rate</t>
  </si>
  <si>
    <t>2 30m 2 Core Speakon cable,  2 Week Rate 3.00 9.00</t>
  </si>
  <si>
    <t>8 10m 2 Core Speakon cable, NL4</t>
  </si>
  <si>
    <t>6 5m 2 Core Speakon cable, NL4</t>
  </si>
  <si>
    <t>Speaker Cable</t>
  </si>
  <si>
    <t>Sound Signal Cable Total</t>
  </si>
  <si>
    <t>1 30m 8 Way audio multicore loom</t>
  </si>
  <si>
    <t>1 10m 4 way audio multicore loom</t>
  </si>
  <si>
    <t>1 4m 4 Way audio multicore loom 2 Week Rate</t>
  </si>
  <si>
    <t>3 30m XLR cable 2 Week Rate</t>
  </si>
  <si>
    <t>7 10m XLR cable 2 Week Rate</t>
  </si>
  <si>
    <t>30 5m XLR cable 2 Week Rate</t>
  </si>
  <si>
    <t>Sound Signal Cable</t>
  </si>
  <si>
    <t>Speakers &amp; Monitoring Total</t>
  </si>
  <si>
    <t xml:space="preserve">5 Yamaha MS101 Mic Stand Adapter </t>
  </si>
  <si>
    <t>5 Yamaha MS101 powered speaker</t>
  </si>
  <si>
    <t>2 EM i12 Quad 12" Subwoofer 2 Week Rate</t>
  </si>
  <si>
    <t>3 Safety Bond 35KG 1Meter</t>
  </si>
  <si>
    <t>3 Hook Clamp 250KG</t>
  </si>
  <si>
    <t>3 EM 81/X Vertical Hanging frame</t>
  </si>
  <si>
    <t>3 EM 81X speaker</t>
  </si>
  <si>
    <t>2 Hook Clamp 20KG</t>
  </si>
  <si>
    <t>2 Safety Bond 15KG 1 Meter</t>
  </si>
  <si>
    <t>2 EM 61 Horizontal hanging frame</t>
  </si>
  <si>
    <t>2 EM 61 Speaker</t>
  </si>
  <si>
    <t>4 Safety Bond 10KG</t>
  </si>
  <si>
    <t>4 Hook Clamp 20KG</t>
  </si>
  <si>
    <t>4 EM 51 Vertical hanging frame</t>
  </si>
  <si>
    <t>4 EM 51 Speaker</t>
  </si>
  <si>
    <t>Speakers &amp; Monitoring</t>
  </si>
  <si>
    <t>Amplifiers Total</t>
  </si>
  <si>
    <t>Amplifiers</t>
  </si>
  <si>
    <t>Radio Mics Total</t>
  </si>
  <si>
    <t>1 Radio Mic License, Per TV Band, Per Venue, Indoors, Bridewell Theatre</t>
  </si>
  <si>
    <t>2 20m BNC cable 50 ohm for radio microphones</t>
  </si>
  <si>
    <t>2 10m BNC cable 50 ohm for radio microphones</t>
  </si>
  <si>
    <t>1 Flightcase for Dipole Aerial</t>
  </si>
  <si>
    <t>1 Stereo microphone bar (23550)</t>
  </si>
  <si>
    <t>1 Microphone multi clamp (240/5)</t>
  </si>
  <si>
    <t>2 Trantec Dipole Antenna CH 38</t>
  </si>
  <si>
    <t>1 PACKAGE -Trantec Dipole Kit</t>
  </si>
  <si>
    <t>Hire 1 Trantec S5.5 Beltpack transmitter pouch CH 38 (SPARE)</t>
  </si>
  <si>
    <t>Hire 6 Countryman B3 mic</t>
  </si>
  <si>
    <t>Hire 14 CPC Headset, Beige</t>
  </si>
  <si>
    <t>Hire 16 CPC Headset, Beige</t>
  </si>
  <si>
    <t>16 Transmitter Pouch, ADULT size</t>
  </si>
  <si>
    <t>16 Trantec S5.5 Beltpack transmitter &amp; pouch CH 38 (AA)</t>
  </si>
  <si>
    <t>1 Flightcase for Trantec 12 Way (Ch.38 (AA)</t>
  </si>
  <si>
    <t>1 4m 12 Way audio multicore loom</t>
  </si>
  <si>
    <t>1 PACKAGE - Trantec S5.5 12 Way Receiver Rack, CH 38</t>
  </si>
  <si>
    <t>1 Flightcase for Trantec 4 Way (Ch. 38)</t>
  </si>
  <si>
    <t>1 4m 4 Way audio multicore loom</t>
  </si>
  <si>
    <t>Receiver rack, CH 38 Receiver Rack, CH 38</t>
  </si>
  <si>
    <t>1 PACKAGE - Trantec S5.5 4 Way</t>
  </si>
  <si>
    <t>Radio Mics</t>
  </si>
  <si>
    <t>Microphones &amp; DIs Total</t>
  </si>
  <si>
    <t>Hire 2 Tall Tripod Base Mic Stand (K&amp;M 201A/2)</t>
  </si>
  <si>
    <t>2 PACKAGE - Tall Mic Stand, No Boom (K&amp;M 201/2)</t>
  </si>
  <si>
    <t>10 Tall Tripod Base Mic Stand (K&amp;M 201A/2)</t>
  </si>
  <si>
    <t>10 1 Part Boom Arm (K&amp;M 211) 2 0.00 0.00</t>
  </si>
  <si>
    <t>10 PACKAGE - Tall Mic Stand With 1 Part Boom (K&amp;M 210/2)</t>
  </si>
  <si>
    <t>3 2 Part Boom Arm (K&amp;M 211/1)</t>
  </si>
  <si>
    <t>3 Short Tripod Base Mic Stand (K&amp;M 259)</t>
  </si>
  <si>
    <t>3 PACKAGE - Short Mic Stand With 2 Part Boom (K&amp;M 259)</t>
  </si>
  <si>
    <t>2 SM57 Dynamic microphone</t>
  </si>
  <si>
    <t>4 Sennheiser E604 Cardioid Drum microphone c/w clip</t>
  </si>
  <si>
    <t>1 Audix D6 Cardioid Microphone</t>
  </si>
  <si>
    <t>5 2m Jack to jack cable (red)</t>
  </si>
  <si>
    <t>5 EMO E520 Passive DI Box (Single)</t>
  </si>
  <si>
    <t>Microphones &amp; DIs</t>
  </si>
  <si>
    <t>Desks total</t>
  </si>
  <si>
    <t>Analog &amp; 8 AES Out Rack</t>
  </si>
  <si>
    <t>2 Yamaha RIO3224D Dante 32 In/16 Out</t>
  </si>
  <si>
    <t>2 Little Lite for Desk (4-pin)</t>
  </si>
  <si>
    <t>1 Flightcase for Yamaha QL5</t>
  </si>
  <si>
    <t xml:space="preserve">1 Yamaha QL5, 64 Channel digital desk </t>
  </si>
  <si>
    <t>Price Ext</t>
  </si>
  <si>
    <t>Desks</t>
  </si>
  <si>
    <t>CS/Geoids Two Week Hire</t>
  </si>
  <si>
    <t>Paid</t>
  </si>
  <si>
    <t>Matt Payne - Trumpet</t>
  </si>
  <si>
    <t>James Patrick - Trombone</t>
  </si>
  <si>
    <t>Matt Helm - Guitar</t>
  </si>
  <si>
    <t>Pete Hunt - Electric Bass</t>
  </si>
  <si>
    <t>Janette Williams - Drums</t>
  </si>
  <si>
    <t>Liam McCloud - Percussion</t>
  </si>
  <si>
    <t>From</t>
  </si>
  <si>
    <t>For</t>
  </si>
  <si>
    <t>Bridewell</t>
  </si>
  <si>
    <t>Percussion Hire company</t>
  </si>
  <si>
    <t>Drums</t>
  </si>
  <si>
    <t>SEDOS</t>
  </si>
  <si>
    <t>Hire of musicstands &amp; cans</t>
  </si>
  <si>
    <t>Sound hire share</t>
  </si>
  <si>
    <t>Invoices</t>
  </si>
  <si>
    <t>Expense Claims</t>
  </si>
  <si>
    <t>Zip Van Hire</t>
  </si>
  <si>
    <t>Lighting Hire Co</t>
  </si>
  <si>
    <t>Complete</t>
  </si>
  <si>
    <t>Additional Lighting</t>
  </si>
  <si>
    <t>Alexis Rose</t>
  </si>
  <si>
    <t>Rights Deposit</t>
  </si>
  <si>
    <t>Naomi Finn</t>
  </si>
  <si>
    <t>Programmes</t>
  </si>
  <si>
    <t>Van 2 - get in</t>
  </si>
  <si>
    <t>Ashlie Kenyon</t>
  </si>
  <si>
    <t>Costume</t>
  </si>
  <si>
    <t>Piano</t>
  </si>
  <si>
    <t>EasyPeasy Transport</t>
  </si>
  <si>
    <t>Van One getin and getout</t>
  </si>
  <si>
    <t>Van 2 - get out</t>
  </si>
  <si>
    <t>Rights &amp; Score Hire+LogoPack</t>
  </si>
  <si>
    <t>check</t>
  </si>
  <si>
    <t>Total Spend</t>
  </si>
  <si>
    <t>Courier - Drums</t>
  </si>
  <si>
    <t>Courier - Scores</t>
  </si>
  <si>
    <t>Settled</t>
  </si>
  <si>
    <t>Outstanding</t>
  </si>
  <si>
    <t>Outboard Equipment</t>
  </si>
  <si>
    <t>1 TDM Crossover Unit</t>
  </si>
  <si>
    <t>7 AKG C391 B Cardioid Microphone</t>
  </si>
  <si>
    <t>3 Shure SM81 Cardioid Microphone</t>
  </si>
  <si>
    <t>2 Lab Gruppen FP2400Q amplifier 4 x 380W</t>
  </si>
  <si>
    <t>4 Lab Gruppen A/B split</t>
  </si>
  <si>
    <t>1 Lab Gruppen IPD2400 amplifier 2x1200W</t>
  </si>
  <si>
    <t>1 Lab Gruppen FP4000 amplifier 2 x1600W</t>
  </si>
  <si>
    <t>110 1.5V `AA' Radio Mic battery</t>
  </si>
  <si>
    <t>Note £100 overpaid - need to reclaim</t>
  </si>
  <si>
    <t>CS pay SEDOS £100</t>
  </si>
  <si>
    <t>Quick Overview of the main steps:</t>
  </si>
  <si>
    <t>Budget Item</t>
  </si>
  <si>
    <t>Programmes Sales</t>
  </si>
  <si>
    <t>Programmes Ads</t>
  </si>
  <si>
    <t>Budgeted Income</t>
  </si>
  <si>
    <t>Budgeted Expenditure</t>
  </si>
  <si>
    <t>Pitch Budget</t>
  </si>
  <si>
    <t>Notes from Meeting</t>
  </si>
  <si>
    <t>Budgeted Expenditure w Contingency</t>
  </si>
  <si>
    <t>Estimated Profit (Loss)</t>
  </si>
  <si>
    <t xml:space="preserve">Any text in black is a manual entry </t>
  </si>
  <si>
    <t>Note - any text that looks like this is a calculation or autopopulated (blue or white on blue background)</t>
  </si>
  <si>
    <t>Comps (Band D)</t>
  </si>
  <si>
    <t>Capacity</t>
  </si>
  <si>
    <t>1. What is your current forecast on ticket sales?</t>
  </si>
  <si>
    <t>Rights %</t>
  </si>
  <si>
    <t>2. What is your current forecast on rights?</t>
  </si>
  <si>
    <t>&lt;&lt;</t>
  </si>
  <si>
    <t>Rights are usually calculated as Ticket Sales * Rights % + VAT</t>
  </si>
  <si>
    <t>Fee</t>
  </si>
  <si>
    <t>Musicians</t>
  </si>
  <si>
    <t>Other Expenses</t>
  </si>
  <si>
    <t>Plays</t>
  </si>
  <si>
    <t>Bass</t>
  </si>
  <si>
    <t>Guitar</t>
  </si>
  <si>
    <t>Fundraising Events</t>
  </si>
  <si>
    <t>Hello! We've designed this pitch tool to help  you keep create an initial budget for the pitch process</t>
  </si>
  <si>
    <t>Please don’t panic if you've never put together a show budget before! We're here to help :)</t>
  </si>
  <si>
    <t>This is just so we can understand whether the show you are pitching is financially viable.</t>
  </si>
  <si>
    <t xml:space="preserve">Please send the entire workbook to us along with your Pitch Form. </t>
  </si>
  <si>
    <t>Pitch budgets should break even at 70% sales</t>
  </si>
  <si>
    <t>(eg For Cabarets it is PRS rather than a Rights %)</t>
  </si>
  <si>
    <t>Comments</t>
  </si>
  <si>
    <t>Business Team Commentary</t>
  </si>
  <si>
    <t>Notes for use by Committee</t>
  </si>
  <si>
    <t xml:space="preserve">30 is a normal cast size for a Bridewell show (no higher!) </t>
  </si>
  <si>
    <t>Please change this to the cast for your specific show</t>
  </si>
  <si>
    <t>A reasonable goal is £300 in programme sales for a Bridewell Show but if sales are low</t>
  </si>
  <si>
    <t>If you think you would be able to get sponsorship from a company, put this in here.</t>
  </si>
  <si>
    <t>It's very rare, so please add notes to explain!</t>
  </si>
  <si>
    <t>We usually hold 2 fundraising events for a Bridewell show, and 1 for a cabaret</t>
  </si>
  <si>
    <t>£200 is a reasonable goal for a fundraising event</t>
  </si>
  <si>
    <t>The committee provides help with these but we do rely on the producer getting involved</t>
  </si>
  <si>
    <t>and the cast being committed to attending and bringing friends</t>
  </si>
  <si>
    <t>Our usual model is £5 per person to attend an event such as a Pub Quiz or Karaoke</t>
  </si>
  <si>
    <t>But we are open to ideas!!!!!</t>
  </si>
  <si>
    <t xml:space="preserve">As part of TicketSource we operate a way for ticket purchasers to </t>
  </si>
  <si>
    <t>give a donation when they buy tickets for the show</t>
  </si>
  <si>
    <t>Please provide your thinking if you have any other views!</t>
  </si>
  <si>
    <t>Please note these</t>
  </si>
  <si>
    <t>are all calculated</t>
  </si>
  <si>
    <t>from the sheets in the workbook</t>
  </si>
  <si>
    <t>This is a function of ticket sales</t>
  </si>
  <si>
    <t>and is fed through from the Ticket Sales tab</t>
  </si>
  <si>
    <t>This is specified by the rights holders when you get the rights</t>
  </si>
  <si>
    <t>Put in a reasonable amount!</t>
  </si>
  <si>
    <t>For cabarets, this would not be applicable unless you had to purchase arrangements</t>
  </si>
  <si>
    <t>Musician 1</t>
  </si>
  <si>
    <t>Musician 2</t>
  </si>
  <si>
    <t>Musician 3</t>
  </si>
  <si>
    <t>Musician 4</t>
  </si>
  <si>
    <t>Musician 5</t>
  </si>
  <si>
    <t>Musician 6</t>
  </si>
  <si>
    <t>Keys 2</t>
  </si>
  <si>
    <t>Trumpet</t>
  </si>
  <si>
    <t>Keys 1 [MD will play]</t>
  </si>
  <si>
    <t>XXX</t>
  </si>
  <si>
    <t>Think about the size of the band</t>
  </si>
  <si>
    <t>and who might play (eg will your MD</t>
  </si>
  <si>
    <t>play keys?)</t>
  </si>
  <si>
    <t xml:space="preserve">£200 is a reasonable amount </t>
  </si>
  <si>
    <t>for a week for the musicians</t>
  </si>
  <si>
    <t>we regularly use</t>
  </si>
  <si>
    <t>Expenditure Items 1. - 3.</t>
  </si>
  <si>
    <t>1. Venue</t>
  </si>
  <si>
    <t>2. Rights</t>
  </si>
  <si>
    <t>3. Script and Score Hire</t>
  </si>
  <si>
    <t>Expenditure Items 5. - 9.</t>
  </si>
  <si>
    <t>5. Set</t>
  </si>
  <si>
    <t>6. Props</t>
  </si>
  <si>
    <t>7. Wardrobe</t>
  </si>
  <si>
    <t>8. Lighting</t>
  </si>
  <si>
    <t>9. Sound</t>
  </si>
  <si>
    <t>10. Transport</t>
  </si>
  <si>
    <t xml:space="preserve">Expenditure Items </t>
  </si>
  <si>
    <t>11. Marketing</t>
  </si>
  <si>
    <t xml:space="preserve">This is a bit of a misnomer as we don’t tend to spend money on marketing. </t>
  </si>
  <si>
    <t>What you do need to take into account is three things:</t>
  </si>
  <si>
    <t>a) Is there a Logopack for the show that we may have to purchase?</t>
  </si>
  <si>
    <t>b) Cost to print the programmes</t>
  </si>
  <si>
    <t>c) Printing of photos for the photo board in the theatre lobby</t>
  </si>
  <si>
    <t>Something that often gets forgotten about!</t>
  </si>
  <si>
    <t>12. Rehearsal Venue</t>
  </si>
  <si>
    <t>As examples:</t>
  </si>
  <si>
    <t>Fame wardrobe less than £100</t>
  </si>
  <si>
    <t>Fame was exactly £1000 - £900 on hire of lights and £100 on cables, no labour fees</t>
  </si>
  <si>
    <t>This is about balance - you may need to spend less on set to invest more on costumes etc.</t>
  </si>
  <si>
    <t xml:space="preserve">Example - Jekyll logopack was £80, whilst Fame was £100. </t>
  </si>
  <si>
    <t>As it is one of the final things to get done, we can often flex depending on how ticket sales are going.</t>
  </si>
  <si>
    <t>This can really vary wildly, but is often the biggest villain for unintended overspend. Just try to make a reasonable estimate.</t>
  </si>
  <si>
    <t>A lot of our stuff is stored at Brewers Hall Gardens. Do you need to hire a  van to take it to and from there? A big van? With or without driver?</t>
  </si>
  <si>
    <t>Can vary hugely - don’t forget you do not need to buy everything! We have a</t>
  </si>
  <si>
    <t>sizable costume score and it really depends what time period the show is set in</t>
  </si>
  <si>
    <t xml:space="preserve">We have a lot in storage but can vary widely depending on the show. </t>
  </si>
  <si>
    <t>Leave this in!</t>
  </si>
  <si>
    <t>Sat Mat</t>
  </si>
  <si>
    <t>We will do our best to work with you to get best possible</t>
  </si>
  <si>
    <t>combination of venues and will require your plan for rehearsals</t>
  </si>
  <si>
    <t>well in advance so we can get the best spread at lowest cost.</t>
  </si>
  <si>
    <t>Grease was £1,588</t>
  </si>
  <si>
    <t>Jekyll was £1,474</t>
  </si>
  <si>
    <t>Work through the Income and Expenditure tabs and put in your best guess. We have provided examples to help you!</t>
  </si>
  <si>
    <t>The starting point is for a typical Bridewell show - for a play or cabaret it may be quite different but the categories should be the same.</t>
  </si>
  <si>
    <t>&lt;&lt;&lt;&lt;Should be positive!</t>
  </si>
  <si>
    <t>Please try to make sure the show is showing as positive!</t>
  </si>
  <si>
    <t>Send us an email if something doesn’t make sense….</t>
  </si>
  <si>
    <t>When you update the figures in the yellow boxes on the numbered tabs it will update automatically on your overall budget (the purple tab)</t>
  </si>
  <si>
    <t>Change this only if you know it is different and specify why in the notes</t>
  </si>
  <si>
    <t>These are the five areas where you will have the most variability. You need to think about what matters most to achieve your show - where will you choose to invest?</t>
  </si>
  <si>
    <t>This is specifically for the get-in and get-out. Think about your set. How much stuff will you need to transport? Don’t forget it will be at unsociable hours.</t>
  </si>
  <si>
    <t>We will take care of this for you (unless you have a free space!)</t>
  </si>
  <si>
    <t>Change this cell to point to N16 if you have a very well known title that should get to 75% easily</t>
  </si>
  <si>
    <t>Change this cell to point to N14 if you have a very well known title that should get to 75% easily</t>
  </si>
  <si>
    <t>15% is normal but do change it in cell L17 if you know it is a different %</t>
  </si>
  <si>
    <t>£80 is our current participation fee for a Bridewell Show</t>
  </si>
  <si>
    <t>In advance</t>
  </si>
  <si>
    <t>On the door</t>
  </si>
  <si>
    <t>It is very tough to sell programme Ads but put a figure here if you think you have good leads</t>
  </si>
  <si>
    <t>Current cost of The Bridewell for a week run including VAT</t>
  </si>
  <si>
    <t>Fame set was approx £700, Grease was £1500, Jekyll was £1300</t>
  </si>
  <si>
    <t>Fame props less than £100, Grease was £320, Jekyll was £148</t>
  </si>
  <si>
    <t>Jekyll was £283</t>
  </si>
  <si>
    <t>Jekyll was £1470</t>
  </si>
  <si>
    <t>Grease was £1100. Jekyll was £1780. Godspell is forecast at £1,600</t>
  </si>
  <si>
    <t>Example - We can get programmes at this sort of level if done well in advance</t>
  </si>
  <si>
    <t>Godspell was a lot higher due to the need for large spaces (as cast are all on stage all the time)</t>
  </si>
  <si>
    <t>this would be forecasted down (or up!) We retail our Bridewell programmes at £2</t>
  </si>
  <si>
    <t>Will you need to send a lorry to the tip after the show? Will you need to pay congestion charge?</t>
  </si>
  <si>
    <t>It includes the hire of scripts (often whether you want them or not!) and orchestral parts</t>
  </si>
  <si>
    <t>It can be anywhere from £500-£700. </t>
  </si>
  <si>
    <t>Most rights holders (MTI, Concord etc) give estimate score, orchestral and script hire fees on their websites. </t>
  </si>
  <si>
    <t>Please research and input this figure here. If the website does not offer an estimate- we can check this with the rights.</t>
  </si>
  <si>
    <t>If you are going to have to return scores and need to courier these, that needs to be factored in under transport</t>
  </si>
  <si>
    <t>May need to hire music stands (average cost £18 per musician). Please input this figure here</t>
  </si>
  <si>
    <t>d) Photography</t>
  </si>
  <si>
    <t>e) Graphic Designer</t>
  </si>
  <si>
    <t>You should be aiming to break even at 70-75%%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</si>
</sst>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&quot;£&quot;#,##0.00;[Red]&quot;£&quot;#,##0.00"/>
    <numFmt numFmtId="167" formatCode="_-[$£-809]* #,##0.00_-;\-[$£-809]* #,##0.00_-;_-[$£-809]* &quot;-&quot;??_-;_-@_-"/>
    <numFmt numFmtId="168" formatCode="_-* #,##0.0_-;\-* #,##0.0_-;_-* &quot;-&quot;??_-;_-@_-"/>
    <numFmt numFmtId="169" formatCode="&quot;£&quot;#,##0.00"/>
    <numFmt numFmtId="170" formatCode="_-* #,##0_-;\-* #,##0_-;_-* &quot;-&quot;??_-;_-@_-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3"/>
      <name val="Arial"/>
      <family val="2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sz val="12"/>
      <name val="Arial"/>
      <family val="2"/>
    </font>
    <font>
      <u/>
      <sz val="10"/>
      <color theme="11"/>
      <name val="Arial"/>
      <family val="2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b/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sz val="12"/>
      <color theme="9"/>
      <name val="Calibri"/>
      <family val="2"/>
      <scheme val="minor"/>
    </font>
    <font>
      <i/>
      <sz val="11"/>
      <color theme="9"/>
      <name val="Calibri"/>
      <family val="2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2" fillId="12" borderId="0" applyNumberFormat="0" applyBorder="0" applyAlignment="0" applyProtection="0"/>
    <xf numFmtId="9" fontId="25" fillId="0" borderId="0" applyFont="0" applyFill="0" applyBorder="0" applyAlignment="0" applyProtection="0"/>
    <xf numFmtId="0" fontId="3" fillId="0" borderId="0"/>
    <xf numFmtId="0" fontId="13" fillId="0" borderId="0"/>
    <xf numFmtId="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7" borderId="0" applyNumberFormat="0" applyBorder="0" applyAlignment="0" applyProtection="0"/>
  </cellStyleXfs>
  <cellXfs count="211">
    <xf numFmtId="0" fontId="0" fillId="0" borderId="0" xfId="0"/>
    <xf numFmtId="0" fontId="12" fillId="0" borderId="0" xfId="0" applyFont="1"/>
    <xf numFmtId="0" fontId="0" fillId="0" borderId="1" xfId="0" applyBorder="1"/>
    <xf numFmtId="164" fontId="0" fillId="0" borderId="0" xfId="2" applyFont="1"/>
    <xf numFmtId="0" fontId="14" fillId="0" borderId="0" xfId="0" applyFont="1"/>
    <xf numFmtId="167" fontId="0" fillId="0" borderId="0" xfId="0" applyNumberFormat="1"/>
    <xf numFmtId="0" fontId="15" fillId="0" borderId="0" xfId="0" applyFont="1"/>
    <xf numFmtId="0" fontId="16" fillId="0" borderId="0" xfId="0" applyFont="1"/>
    <xf numFmtId="165" fontId="0" fillId="0" borderId="0" xfId="1" applyFont="1"/>
    <xf numFmtId="164" fontId="14" fillId="0" borderId="1" xfId="2" applyFont="1" applyBorder="1"/>
    <xf numFmtId="167" fontId="14" fillId="0" borderId="1" xfId="0" applyNumberFormat="1" applyFont="1" applyBorder="1"/>
    <xf numFmtId="0" fontId="17" fillId="0" borderId="0" xfId="0" applyFont="1"/>
    <xf numFmtId="0" fontId="11" fillId="0" borderId="2" xfId="0" applyFont="1" applyFill="1" applyBorder="1"/>
    <xf numFmtId="164" fontId="11" fillId="0" borderId="2" xfId="2" applyFont="1" applyFill="1" applyBorder="1"/>
    <xf numFmtId="164" fontId="12" fillId="0" borderId="0" xfId="2" applyFont="1"/>
    <xf numFmtId="164" fontId="0" fillId="0" borderId="1" xfId="0" applyNumberFormat="1" applyBorder="1"/>
    <xf numFmtId="0" fontId="12" fillId="0" borderId="2" xfId="0" applyFont="1" applyBorder="1"/>
    <xf numFmtId="14" fontId="12" fillId="0" borderId="0" xfId="0" applyNumberFormat="1" applyFont="1"/>
    <xf numFmtId="9" fontId="0" fillId="2" borderId="0" xfId="0" applyNumberFormat="1" applyFill="1"/>
    <xf numFmtId="9" fontId="0" fillId="3" borderId="0" xfId="0" applyNumberFormat="1" applyFill="1"/>
    <xf numFmtId="9" fontId="0" fillId="4" borderId="0" xfId="0" applyNumberFormat="1" applyFill="1"/>
    <xf numFmtId="167" fontId="0" fillId="2" borderId="0" xfId="0" applyNumberFormat="1" applyFill="1"/>
    <xf numFmtId="167" fontId="0" fillId="3" borderId="0" xfId="0" applyNumberFormat="1" applyFill="1"/>
    <xf numFmtId="167" fontId="0" fillId="4" borderId="0" xfId="0" applyNumberFormat="1" applyFill="1"/>
    <xf numFmtId="0" fontId="18" fillId="0" borderId="0" xfId="0" applyFont="1"/>
    <xf numFmtId="0" fontId="9" fillId="0" borderId="0" xfId="3"/>
    <xf numFmtId="168" fontId="0" fillId="0" borderId="0" xfId="4" applyNumberFormat="1" applyFont="1"/>
    <xf numFmtId="167" fontId="0" fillId="0" borderId="0" xfId="4" applyNumberFormat="1" applyFont="1"/>
    <xf numFmtId="11" fontId="9" fillId="0" borderId="0" xfId="3" applyNumberFormat="1" applyAlignment="1">
      <alignment vertical="center" wrapText="1"/>
    </xf>
    <xf numFmtId="0" fontId="9" fillId="0" borderId="0" xfId="3" applyAlignment="1">
      <alignment vertical="center"/>
    </xf>
    <xf numFmtId="14" fontId="9" fillId="0" borderId="0" xfId="3" applyNumberFormat="1"/>
    <xf numFmtId="168" fontId="9" fillId="0" borderId="0" xfId="3" applyNumberFormat="1"/>
    <xf numFmtId="167" fontId="0" fillId="0" borderId="0" xfId="4" applyNumberFormat="1" applyFont="1" applyAlignment="1">
      <alignment vertical="center"/>
    </xf>
    <xf numFmtId="165" fontId="0" fillId="0" borderId="0" xfId="4" applyNumberFormat="1" applyFont="1" applyAlignment="1">
      <alignment vertical="center"/>
    </xf>
    <xf numFmtId="0" fontId="9" fillId="4" borderId="0" xfId="3" applyFill="1"/>
    <xf numFmtId="165" fontId="9" fillId="0" borderId="0" xfId="3" applyNumberFormat="1"/>
    <xf numFmtId="0" fontId="9" fillId="2" borderId="0" xfId="3" applyFill="1"/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0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5" borderId="0" xfId="3" applyFill="1"/>
    <xf numFmtId="11" fontId="9" fillId="0" borderId="0" xfId="3" applyNumberFormat="1" applyFont="1" applyAlignment="1">
      <alignment vertical="center" wrapText="1"/>
    </xf>
    <xf numFmtId="11" fontId="9" fillId="5" borderId="0" xfId="3" applyNumberFormat="1" applyFont="1" applyFill="1" applyAlignment="1">
      <alignment vertical="center" wrapText="1"/>
    </xf>
    <xf numFmtId="167" fontId="19" fillId="0" borderId="0" xfId="4" applyNumberFormat="1" applyFont="1" applyAlignment="1">
      <alignment vertical="center"/>
    </xf>
    <xf numFmtId="0" fontId="9" fillId="5" borderId="0" xfId="3" applyFont="1" applyFill="1"/>
    <xf numFmtId="0" fontId="20" fillId="6" borderId="0" xfId="0" applyFont="1" applyFill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8" fillId="2" borderId="0" xfId="3" applyFont="1" applyFill="1"/>
    <xf numFmtId="0" fontId="8" fillId="8" borderId="0" xfId="3" applyFont="1" applyFill="1"/>
    <xf numFmtId="11" fontId="8" fillId="0" borderId="0" xfId="3" applyNumberFormat="1" applyFont="1" applyAlignment="1">
      <alignment vertical="center" wrapText="1"/>
    </xf>
    <xf numFmtId="167" fontId="0" fillId="2" borderId="0" xfId="4" applyNumberFormat="1" applyFont="1" applyFill="1" applyAlignment="1">
      <alignment vertical="center"/>
    </xf>
    <xf numFmtId="167" fontId="0" fillId="7" borderId="0" xfId="4" applyNumberFormat="1" applyFont="1" applyFill="1" applyAlignment="1">
      <alignment vertical="center"/>
    </xf>
    <xf numFmtId="167" fontId="21" fillId="0" borderId="0" xfId="4" applyNumberFormat="1" applyFont="1" applyAlignment="1">
      <alignment vertical="center"/>
    </xf>
    <xf numFmtId="0" fontId="8" fillId="10" borderId="0" xfId="3" applyFont="1" applyFill="1"/>
    <xf numFmtId="167" fontId="0" fillId="10" borderId="0" xfId="4" applyNumberFormat="1" applyFont="1" applyFill="1" applyAlignment="1">
      <alignment vertical="center"/>
    </xf>
    <xf numFmtId="0" fontId="8" fillId="0" borderId="0" xfId="3" applyFont="1" applyFill="1"/>
    <xf numFmtId="167" fontId="0" fillId="11" borderId="0" xfId="4" applyNumberFormat="1" applyFont="1" applyFill="1" applyAlignment="1">
      <alignment vertical="center"/>
    </xf>
    <xf numFmtId="0" fontId="7" fillId="5" borderId="0" xfId="3" applyFont="1" applyFill="1"/>
    <xf numFmtId="0" fontId="6" fillId="11" borderId="0" xfId="3" applyFont="1" applyFill="1"/>
    <xf numFmtId="0" fontId="6" fillId="5" borderId="0" xfId="3" applyFont="1" applyFill="1"/>
    <xf numFmtId="0" fontId="6" fillId="0" borderId="0" xfId="3" applyFont="1" applyFill="1"/>
    <xf numFmtId="0" fontId="13" fillId="0" borderId="0" xfId="0" applyFont="1"/>
    <xf numFmtId="0" fontId="22" fillId="12" borderId="0" xfId="6"/>
    <xf numFmtId="167" fontId="22" fillId="12" borderId="0" xfId="6" applyNumberFormat="1"/>
    <xf numFmtId="0" fontId="23" fillId="9" borderId="0" xfId="3" applyFont="1" applyFill="1"/>
    <xf numFmtId="14" fontId="23" fillId="9" borderId="0" xfId="3" applyNumberFormat="1" applyFont="1" applyFill="1"/>
    <xf numFmtId="0" fontId="5" fillId="5" borderId="0" xfId="3" applyFont="1" applyFill="1"/>
    <xf numFmtId="0" fontId="5" fillId="10" borderId="0" xfId="3" applyFont="1" applyFill="1"/>
    <xf numFmtId="167" fontId="9" fillId="0" borderId="0" xfId="3" applyNumberFormat="1"/>
    <xf numFmtId="11" fontId="5" fillId="0" borderId="0" xfId="3" applyNumberFormat="1" applyFont="1" applyAlignment="1">
      <alignment vertical="center" wrapText="1"/>
    </xf>
    <xf numFmtId="167" fontId="13" fillId="0" borderId="0" xfId="4" applyNumberFormat="1" applyFont="1" applyAlignment="1">
      <alignment vertical="center"/>
    </xf>
    <xf numFmtId="164" fontId="13" fillId="0" borderId="0" xfId="0" applyNumberFormat="1" applyFont="1" applyBorder="1" applyAlignment="1">
      <alignment wrapText="1"/>
    </xf>
    <xf numFmtId="167" fontId="12" fillId="0" borderId="0" xfId="0" applyNumberFormat="1" applyFont="1"/>
    <xf numFmtId="0" fontId="4" fillId="5" borderId="0" xfId="3" applyFont="1" applyFill="1"/>
    <xf numFmtId="0" fontId="13" fillId="4" borderId="11" xfId="0" applyFont="1" applyFill="1" applyBorder="1" applyAlignment="1">
      <alignment wrapText="1"/>
    </xf>
    <xf numFmtId="9" fontId="12" fillId="0" borderId="0" xfId="7" applyFont="1"/>
    <xf numFmtId="0" fontId="3" fillId="0" borderId="0" xfId="8"/>
    <xf numFmtId="167" fontId="3" fillId="0" borderId="0" xfId="8" applyNumberFormat="1"/>
    <xf numFmtId="0" fontId="3" fillId="0" borderId="0" xfId="8" applyAlignment="1">
      <alignment horizontal="right"/>
    </xf>
    <xf numFmtId="16" fontId="3" fillId="0" borderId="0" xfId="8" applyNumberFormat="1"/>
    <xf numFmtId="167" fontId="27" fillId="0" borderId="0" xfId="8" applyNumberFormat="1" applyFont="1"/>
    <xf numFmtId="0" fontId="27" fillId="0" borderId="0" xfId="8" applyFont="1"/>
    <xf numFmtId="167" fontId="3" fillId="0" borderId="0" xfId="8" applyNumberFormat="1" applyFont="1"/>
    <xf numFmtId="167" fontId="3" fillId="2" borderId="0" xfId="8" applyNumberFormat="1" applyFill="1"/>
    <xf numFmtId="0" fontId="3" fillId="2" borderId="0" xfId="8" applyFill="1"/>
    <xf numFmtId="167" fontId="13" fillId="0" borderId="0" xfId="0" applyNumberFormat="1" applyFont="1"/>
    <xf numFmtId="0" fontId="13" fillId="8" borderId="0" xfId="0" applyFont="1" applyFill="1"/>
    <xf numFmtId="0" fontId="2" fillId="0" borderId="0" xfId="8" applyFont="1"/>
    <xf numFmtId="0" fontId="10" fillId="0" borderId="0" xfId="0" applyFont="1"/>
    <xf numFmtId="0" fontId="1" fillId="0" borderId="0" xfId="8" applyFont="1" applyAlignment="1">
      <alignment horizontal="right"/>
    </xf>
    <xf numFmtId="164" fontId="12" fillId="0" borderId="0" xfId="2" applyFont="1" applyFill="1" applyBorder="1"/>
    <xf numFmtId="0" fontId="12" fillId="13" borderId="0" xfId="0" applyFont="1" applyFill="1" applyBorder="1" applyAlignment="1">
      <alignment wrapText="1"/>
    </xf>
    <xf numFmtId="164" fontId="12" fillId="13" borderId="0" xfId="2" applyFont="1" applyFill="1" applyBorder="1"/>
    <xf numFmtId="0" fontId="14" fillId="13" borderId="0" xfId="0" applyFont="1" applyFill="1"/>
    <xf numFmtId="169" fontId="0" fillId="0" borderId="0" xfId="0" applyNumberFormat="1"/>
    <xf numFmtId="0" fontId="30" fillId="6" borderId="0" xfId="0" applyFont="1" applyFill="1"/>
    <xf numFmtId="0" fontId="12" fillId="14" borderId="0" xfId="9" applyFont="1" applyFill="1" applyBorder="1" applyAlignment="1">
      <alignment horizontal="left" vertical="top"/>
    </xf>
    <xf numFmtId="0" fontId="12" fillId="14" borderId="0" xfId="9" applyFont="1" applyFill="1" applyBorder="1" applyAlignment="1">
      <alignment horizontal="left" vertical="top" wrapText="1"/>
    </xf>
    <xf numFmtId="164" fontId="12" fillId="14" borderId="0" xfId="9" applyNumberFormat="1" applyFont="1" applyFill="1" applyBorder="1" applyAlignment="1">
      <alignment horizontal="right" vertical="top"/>
    </xf>
    <xf numFmtId="0" fontId="12" fillId="0" borderId="0" xfId="9" applyFont="1" applyBorder="1" applyAlignment="1">
      <alignment horizontal="left" vertical="top"/>
    </xf>
    <xf numFmtId="0" fontId="12" fillId="0" borderId="0" xfId="9" applyFont="1" applyBorder="1" applyAlignment="1">
      <alignment horizontal="left" vertical="center"/>
    </xf>
    <xf numFmtId="0" fontId="26" fillId="0" borderId="0" xfId="9" applyFont="1" applyBorder="1" applyAlignment="1">
      <alignment horizontal="center" vertical="center"/>
    </xf>
    <xf numFmtId="166" fontId="12" fillId="0" borderId="0" xfId="9" applyNumberFormat="1" applyFont="1" applyBorder="1" applyAlignment="1">
      <alignment horizontal="left" vertical="top"/>
    </xf>
    <xf numFmtId="0" fontId="12" fillId="0" borderId="0" xfId="9" applyFont="1" applyBorder="1" applyAlignment="1">
      <alignment horizontal="left" vertical="top" wrapText="1"/>
    </xf>
    <xf numFmtId="164" fontId="12" fillId="0" borderId="0" xfId="9" applyNumberFormat="1" applyFont="1" applyBorder="1" applyAlignment="1">
      <alignment horizontal="right" vertical="top"/>
    </xf>
    <xf numFmtId="0" fontId="12" fillId="5" borderId="19" xfId="9" applyFont="1" applyFill="1" applyBorder="1" applyAlignment="1">
      <alignment horizontal="center" vertical="top"/>
    </xf>
    <xf numFmtId="164" fontId="12" fillId="16" borderId="14" xfId="9" applyNumberFormat="1" applyFont="1" applyFill="1" applyBorder="1" applyAlignment="1">
      <alignment horizontal="center" vertical="top"/>
    </xf>
    <xf numFmtId="0" fontId="12" fillId="5" borderId="14" xfId="9" applyFont="1" applyFill="1" applyBorder="1" applyAlignment="1">
      <alignment horizontal="center" vertical="top"/>
    </xf>
    <xf numFmtId="164" fontId="12" fillId="5" borderId="14" xfId="9" applyNumberFormat="1" applyFont="1" applyFill="1" applyBorder="1" applyAlignment="1">
      <alignment horizontal="center" vertical="top"/>
    </xf>
    <xf numFmtId="0" fontId="12" fillId="5" borderId="14" xfId="9" applyFont="1" applyFill="1" applyBorder="1" applyAlignment="1">
      <alignment horizontal="center" vertical="top" wrapText="1"/>
    </xf>
    <xf numFmtId="0" fontId="11" fillId="5" borderId="22" xfId="9" applyFont="1" applyFill="1" applyBorder="1" applyAlignment="1">
      <alignment horizontal="center" vertical="top" wrapText="1"/>
    </xf>
    <xf numFmtId="0" fontId="12" fillId="5" borderId="23" xfId="9" applyFont="1" applyFill="1" applyBorder="1" applyAlignment="1">
      <alignment horizontal="center" vertical="top" wrapText="1"/>
    </xf>
    <xf numFmtId="164" fontId="12" fillId="16" borderId="19" xfId="9" applyNumberFormat="1" applyFont="1" applyFill="1" applyBorder="1" applyAlignment="1">
      <alignment horizontal="center" vertical="top" wrapText="1"/>
    </xf>
    <xf numFmtId="0" fontId="12" fillId="5" borderId="24" xfId="9" applyFont="1" applyFill="1" applyBorder="1" applyAlignment="1">
      <alignment horizontal="center" vertical="top" wrapText="1"/>
    </xf>
    <xf numFmtId="164" fontId="12" fillId="16" borderId="14" xfId="9" applyNumberFormat="1" applyFont="1" applyFill="1" applyBorder="1" applyAlignment="1">
      <alignment horizontal="center" vertical="top" wrapText="1"/>
    </xf>
    <xf numFmtId="0" fontId="11" fillId="5" borderId="24" xfId="9" applyFont="1" applyFill="1" applyBorder="1" applyAlignment="1">
      <alignment horizontal="center" vertical="top" wrapText="1"/>
    </xf>
    <xf numFmtId="0" fontId="11" fillId="5" borderId="26" xfId="9" applyFont="1" applyFill="1" applyBorder="1" applyAlignment="1">
      <alignment horizontal="center" vertical="top" wrapText="1"/>
    </xf>
    <xf numFmtId="0" fontId="34" fillId="0" borderId="0" xfId="9" applyFont="1" applyBorder="1" applyAlignment="1">
      <alignment horizontal="left" vertical="top"/>
    </xf>
    <xf numFmtId="164" fontId="12" fillId="14" borderId="0" xfId="9" applyNumberFormat="1" applyFont="1" applyFill="1" applyBorder="1" applyAlignment="1">
      <alignment horizontal="left" vertical="top" wrapText="1"/>
    </xf>
    <xf numFmtId="164" fontId="11" fillId="5" borderId="22" xfId="9" applyNumberFormat="1" applyFont="1" applyFill="1" applyBorder="1" applyAlignment="1">
      <alignment horizontal="left" vertical="top" wrapText="1"/>
    </xf>
    <xf numFmtId="164" fontId="11" fillId="5" borderId="14" xfId="9" applyNumberFormat="1" applyFont="1" applyFill="1" applyBorder="1" applyAlignment="1">
      <alignment horizontal="left" vertical="top" wrapText="1"/>
    </xf>
    <xf numFmtId="164" fontId="12" fillId="0" borderId="0" xfId="9" applyNumberFormat="1" applyFont="1" applyBorder="1" applyAlignment="1">
      <alignment horizontal="left" vertical="top" wrapText="1"/>
    </xf>
    <xf numFmtId="164" fontId="29" fillId="6" borderId="22" xfId="9" applyNumberFormat="1" applyFont="1" applyFill="1" applyBorder="1" applyAlignment="1">
      <alignment horizontal="center" vertical="top"/>
    </xf>
    <xf numFmtId="164" fontId="35" fillId="16" borderId="14" xfId="9" applyNumberFormat="1" applyFont="1" applyFill="1" applyBorder="1" applyAlignment="1">
      <alignment horizontal="center" vertical="top"/>
    </xf>
    <xf numFmtId="164" fontId="33" fillId="6" borderId="22" xfId="9" applyNumberFormat="1" applyFont="1" applyFill="1" applyBorder="1" applyAlignment="1">
      <alignment horizontal="center" vertical="center"/>
    </xf>
    <xf numFmtId="166" fontId="12" fillId="0" borderId="0" xfId="9" applyNumberFormat="1" applyFont="1" applyBorder="1" applyAlignment="1">
      <alignment horizontal="left" vertical="center"/>
    </xf>
    <xf numFmtId="0" fontId="12" fillId="0" borderId="0" xfId="9" applyFont="1" applyBorder="1" applyAlignment="1">
      <alignment horizontal="left" vertical="center" wrapText="1"/>
    </xf>
    <xf numFmtId="164" fontId="29" fillId="6" borderId="14" xfId="9" applyNumberFormat="1" applyFont="1" applyFill="1" applyBorder="1" applyAlignment="1">
      <alignment horizontal="center" vertical="top"/>
    </xf>
    <xf numFmtId="164" fontId="24" fillId="7" borderId="14" xfId="0" applyNumberFormat="1" applyFont="1" applyFill="1" applyBorder="1" applyAlignment="1">
      <alignment horizontal="left" vertical="top"/>
    </xf>
    <xf numFmtId="164" fontId="35" fillId="0" borderId="14" xfId="9" applyNumberFormat="1" applyFont="1" applyFill="1" applyBorder="1" applyAlignment="1">
      <alignment horizontal="center" vertical="top"/>
    </xf>
    <xf numFmtId="0" fontId="13" fillId="0" borderId="0" xfId="9"/>
    <xf numFmtId="167" fontId="13" fillId="0" borderId="0" xfId="9" applyNumberFormat="1"/>
    <xf numFmtId="164" fontId="12" fillId="2" borderId="14" xfId="9" applyNumberFormat="1" applyFont="1" applyFill="1" applyBorder="1" applyAlignment="1">
      <alignment horizontal="center" vertical="top"/>
    </xf>
    <xf numFmtId="167" fontId="13" fillId="2" borderId="15" xfId="9" applyNumberFormat="1" applyFill="1" applyBorder="1"/>
    <xf numFmtId="0" fontId="14" fillId="0" borderId="0" xfId="9" applyFont="1"/>
    <xf numFmtId="167" fontId="20" fillId="6" borderId="0" xfId="0" applyNumberFormat="1" applyFont="1" applyFill="1"/>
    <xf numFmtId="0" fontId="20" fillId="6" borderId="0" xfId="9" applyFont="1" applyFill="1"/>
    <xf numFmtId="0" fontId="30" fillId="6" borderId="0" xfId="9" applyFont="1" applyFill="1"/>
    <xf numFmtId="167" fontId="21" fillId="16" borderId="15" xfId="9" applyNumberFormat="1" applyFont="1" applyFill="1" applyBorder="1"/>
    <xf numFmtId="0" fontId="37" fillId="0" borderId="0" xfId="9" applyFont="1"/>
    <xf numFmtId="167" fontId="37" fillId="0" borderId="0" xfId="9" applyNumberFormat="1" applyFont="1"/>
    <xf numFmtId="167" fontId="37" fillId="2" borderId="15" xfId="9" applyNumberFormat="1" applyFont="1" applyFill="1" applyBorder="1"/>
    <xf numFmtId="9" fontId="22" fillId="12" borderId="0" xfId="6" applyNumberFormat="1"/>
    <xf numFmtId="0" fontId="37" fillId="0" borderId="12" xfId="9" applyFont="1" applyBorder="1"/>
    <xf numFmtId="0" fontId="40" fillId="0" borderId="0" xfId="9" applyFont="1"/>
    <xf numFmtId="0" fontId="13" fillId="0" borderId="0" xfId="9" applyFont="1"/>
    <xf numFmtId="0" fontId="41" fillId="0" borderId="0" xfId="9" applyFont="1"/>
    <xf numFmtId="0" fontId="40" fillId="0" borderId="14" xfId="9" applyFont="1" applyBorder="1"/>
    <xf numFmtId="167" fontId="40" fillId="0" borderId="14" xfId="9" applyNumberFormat="1" applyFont="1" applyBorder="1"/>
    <xf numFmtId="170" fontId="35" fillId="16" borderId="14" xfId="1" applyNumberFormat="1" applyFont="1" applyFill="1" applyBorder="1" applyAlignment="1">
      <alignment horizontal="center" vertical="top"/>
    </xf>
    <xf numFmtId="9" fontId="42" fillId="17" borderId="13" xfId="16" applyNumberFormat="1" applyFont="1" applyBorder="1"/>
    <xf numFmtId="0" fontId="43" fillId="0" borderId="13" xfId="9" applyFont="1" applyBorder="1"/>
    <xf numFmtId="0" fontId="43" fillId="0" borderId="30" xfId="9" applyFont="1" applyBorder="1"/>
    <xf numFmtId="164" fontId="35" fillId="16" borderId="28" xfId="9" applyNumberFormat="1" applyFont="1" applyFill="1" applyBorder="1" applyAlignment="1">
      <alignment horizontal="center" vertical="top"/>
    </xf>
    <xf numFmtId="164" fontId="35" fillId="16" borderId="24" xfId="9" applyNumberFormat="1" applyFont="1" applyFill="1" applyBorder="1" applyAlignment="1">
      <alignment horizontal="center" vertical="top"/>
    </xf>
    <xf numFmtId="164" fontId="28" fillId="16" borderId="31" xfId="9" applyNumberFormat="1" applyFont="1" applyFill="1" applyBorder="1" applyAlignment="1">
      <alignment horizontal="center" vertical="top"/>
    </xf>
    <xf numFmtId="9" fontId="44" fillId="2" borderId="0" xfId="9" applyNumberFormat="1" applyFont="1" applyFill="1"/>
    <xf numFmtId="170" fontId="13" fillId="2" borderId="15" xfId="1" applyNumberFormat="1" applyFill="1" applyBorder="1"/>
    <xf numFmtId="164" fontId="12" fillId="5" borderId="27" xfId="9" applyNumberFormat="1" applyFont="1" applyFill="1" applyBorder="1" applyAlignment="1">
      <alignment horizontal="left" vertical="top" wrapText="1"/>
    </xf>
    <xf numFmtId="164" fontId="12" fillId="5" borderId="28" xfId="9" applyNumberFormat="1" applyFont="1" applyFill="1" applyBorder="1" applyAlignment="1">
      <alignment horizontal="left" vertical="top" wrapText="1"/>
    </xf>
    <xf numFmtId="164" fontId="12" fillId="5" borderId="29" xfId="9" applyNumberFormat="1" applyFont="1" applyFill="1" applyBorder="1" applyAlignment="1">
      <alignment horizontal="left" vertical="top" wrapText="1"/>
    </xf>
    <xf numFmtId="0" fontId="11" fillId="0" borderId="0" xfId="9" applyFont="1" applyFill="1" applyBorder="1" applyAlignment="1">
      <alignment vertical="center" wrapText="1"/>
    </xf>
    <xf numFmtId="167" fontId="13" fillId="2" borderId="0" xfId="0" applyNumberFormat="1" applyFont="1" applyFill="1" applyBorder="1"/>
    <xf numFmtId="167" fontId="30" fillId="6" borderId="0" xfId="9" applyNumberFormat="1" applyFont="1" applyFill="1"/>
    <xf numFmtId="0" fontId="20" fillId="5" borderId="0" xfId="9" applyFont="1" applyFill="1"/>
    <xf numFmtId="0" fontId="30" fillId="5" borderId="0" xfId="9" applyFont="1" applyFill="1"/>
    <xf numFmtId="0" fontId="13" fillId="5" borderId="0" xfId="9" applyFill="1"/>
    <xf numFmtId="0" fontId="14" fillId="5" borderId="0" xfId="9" applyFont="1" applyFill="1"/>
    <xf numFmtId="164" fontId="45" fillId="5" borderId="14" xfId="9" applyNumberFormat="1" applyFont="1" applyFill="1" applyBorder="1" applyAlignment="1">
      <alignment horizontal="right" vertical="top" wrapText="1"/>
    </xf>
    <xf numFmtId="0" fontId="40" fillId="5" borderId="14" xfId="9" applyFont="1" applyFill="1" applyBorder="1"/>
    <xf numFmtId="164" fontId="36" fillId="0" borderId="0" xfId="9" applyNumberFormat="1" applyFont="1" applyBorder="1" applyAlignment="1">
      <alignment horizontal="left" vertical="center" wrapText="1"/>
    </xf>
    <xf numFmtId="0" fontId="36" fillId="0" borderId="0" xfId="9" applyFont="1" applyBorder="1" applyAlignment="1">
      <alignment horizontal="left" vertical="top"/>
    </xf>
    <xf numFmtId="0" fontId="46" fillId="0" borderId="0" xfId="9" applyFont="1" applyBorder="1" applyAlignment="1">
      <alignment horizontal="left" vertical="center"/>
    </xf>
    <xf numFmtId="0" fontId="46" fillId="0" borderId="0" xfId="9" applyFont="1" applyBorder="1" applyAlignment="1">
      <alignment horizontal="center" vertical="center"/>
    </xf>
    <xf numFmtId="0" fontId="36" fillId="0" borderId="0" xfId="9" applyFont="1" applyBorder="1" applyAlignment="1">
      <alignment horizontal="left" vertical="center"/>
    </xf>
    <xf numFmtId="170" fontId="35" fillId="16" borderId="28" xfId="1" applyNumberFormat="1" applyFont="1" applyFill="1" applyBorder="1" applyAlignment="1">
      <alignment horizontal="center" vertical="top"/>
    </xf>
    <xf numFmtId="167" fontId="35" fillId="16" borderId="14" xfId="1" applyNumberFormat="1" applyFont="1" applyFill="1" applyBorder="1" applyAlignment="1">
      <alignment horizontal="center" vertical="top"/>
    </xf>
    <xf numFmtId="0" fontId="48" fillId="0" borderId="0" xfId="0" applyFont="1"/>
    <xf numFmtId="0" fontId="49" fillId="0" borderId="0" xfId="0" applyFont="1"/>
    <xf numFmtId="0" fontId="13" fillId="0" borderId="0" xfId="0" applyFont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4" fontId="47" fillId="0" borderId="3" xfId="9" applyNumberFormat="1" applyFont="1" applyBorder="1" applyAlignment="1">
      <alignment horizontal="left" vertical="top" wrapText="1"/>
    </xf>
    <xf numFmtId="14" fontId="47" fillId="0" borderId="4" xfId="9" applyNumberFormat="1" applyFont="1" applyBorder="1" applyAlignment="1">
      <alignment horizontal="left" vertical="top" wrapText="1"/>
    </xf>
    <xf numFmtId="14" fontId="47" fillId="0" borderId="5" xfId="9" applyNumberFormat="1" applyFont="1" applyBorder="1" applyAlignment="1">
      <alignment horizontal="left" vertical="top" wrapText="1"/>
    </xf>
    <xf numFmtId="14" fontId="47" fillId="0" borderId="6" xfId="9" applyNumberFormat="1" applyFont="1" applyBorder="1" applyAlignment="1">
      <alignment horizontal="left" vertical="top" wrapText="1"/>
    </xf>
    <xf numFmtId="14" fontId="47" fillId="0" borderId="0" xfId="9" applyNumberFormat="1" applyFont="1" applyBorder="1" applyAlignment="1">
      <alignment horizontal="left" vertical="top" wrapText="1"/>
    </xf>
    <xf numFmtId="14" fontId="47" fillId="0" borderId="7" xfId="9" applyNumberFormat="1" applyFont="1" applyBorder="1" applyAlignment="1">
      <alignment horizontal="left" vertical="top" wrapText="1"/>
    </xf>
    <xf numFmtId="14" fontId="47" fillId="0" borderId="8" xfId="9" applyNumberFormat="1" applyFont="1" applyBorder="1" applyAlignment="1">
      <alignment horizontal="left" vertical="top" wrapText="1"/>
    </xf>
    <xf numFmtId="14" fontId="47" fillId="0" borderId="9" xfId="9" applyNumberFormat="1" applyFont="1" applyBorder="1" applyAlignment="1">
      <alignment horizontal="left" vertical="top" wrapText="1"/>
    </xf>
    <xf numFmtId="14" fontId="47" fillId="0" borderId="10" xfId="9" applyNumberFormat="1" applyFont="1" applyBorder="1" applyAlignment="1">
      <alignment horizontal="left" vertical="top" wrapText="1"/>
    </xf>
    <xf numFmtId="0" fontId="32" fillId="5" borderId="18" xfId="9" applyFont="1" applyFill="1" applyBorder="1" applyAlignment="1">
      <alignment horizontal="center" vertical="center" textRotation="90" wrapText="1"/>
    </xf>
    <xf numFmtId="0" fontId="32" fillId="5" borderId="20" xfId="9" applyFont="1" applyFill="1" applyBorder="1" applyAlignment="1">
      <alignment horizontal="center" vertical="center" textRotation="90" wrapText="1"/>
    </xf>
    <xf numFmtId="0" fontId="32" fillId="5" borderId="21" xfId="9" applyFont="1" applyFill="1" applyBorder="1" applyAlignment="1">
      <alignment horizontal="center" vertical="center" textRotation="90" wrapText="1"/>
    </xf>
    <xf numFmtId="0" fontId="12" fillId="0" borderId="0" xfId="9" applyFont="1" applyFill="1" applyBorder="1" applyAlignment="1">
      <alignment horizontal="center" vertical="top"/>
    </xf>
    <xf numFmtId="0" fontId="11" fillId="5" borderId="25" xfId="9" applyFont="1" applyFill="1" applyBorder="1" applyAlignment="1">
      <alignment horizontal="center" vertical="top" wrapText="1"/>
    </xf>
    <xf numFmtId="164" fontId="31" fillId="15" borderId="4" xfId="9" applyNumberFormat="1" applyFont="1" applyFill="1" applyBorder="1" applyAlignment="1">
      <alignment horizontal="left" vertical="center" wrapText="1"/>
    </xf>
    <xf numFmtId="164" fontId="31" fillId="15" borderId="9" xfId="9" applyNumberFormat="1" applyFont="1" applyFill="1" applyBorder="1" applyAlignment="1">
      <alignment horizontal="left" vertical="center" wrapText="1"/>
    </xf>
    <xf numFmtId="0" fontId="31" fillId="15" borderId="16" xfId="9" applyFont="1" applyFill="1" applyBorder="1" applyAlignment="1">
      <alignment horizontal="center" vertical="center"/>
    </xf>
    <xf numFmtId="0" fontId="31" fillId="15" borderId="17" xfId="9" applyFont="1" applyFill="1" applyBorder="1" applyAlignment="1">
      <alignment horizontal="center" vertical="center"/>
    </xf>
    <xf numFmtId="0" fontId="31" fillId="15" borderId="4" xfId="9" applyFont="1" applyFill="1" applyBorder="1" applyAlignment="1">
      <alignment horizontal="center" vertical="center" wrapText="1"/>
    </xf>
    <xf numFmtId="0" fontId="31" fillId="15" borderId="9" xfId="9" applyFont="1" applyFill="1" applyBorder="1" applyAlignment="1">
      <alignment horizontal="center" vertical="center" wrapText="1"/>
    </xf>
    <xf numFmtId="164" fontId="31" fillId="15" borderId="4" xfId="9" applyNumberFormat="1" applyFont="1" applyFill="1" applyBorder="1" applyAlignment="1">
      <alignment horizontal="center" vertical="center" wrapText="1"/>
    </xf>
    <xf numFmtId="164" fontId="31" fillId="15" borderId="9" xfId="9" applyNumberFormat="1" applyFont="1" applyFill="1" applyBorder="1" applyAlignment="1">
      <alignment horizontal="center" vertical="center" wrapText="1"/>
    </xf>
  </cellXfs>
  <cellStyles count="17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Good" xfId="16" builtinId="26"/>
    <cellStyle name="Neutral" xfId="6" builtinId="28"/>
    <cellStyle name="Normal" xfId="0" builtinId="0"/>
    <cellStyle name="Normal 2" xfId="3" xr:uid="{00000000-0005-0000-0000-00000C000000}"/>
    <cellStyle name="Normal 3" xfId="8" xr:uid="{00000000-0005-0000-0000-00000D000000}"/>
    <cellStyle name="Normal 4" xfId="9" xr:uid="{00000000-0005-0000-0000-00000E000000}"/>
    <cellStyle name="Per cent" xfId="7" builtinId="5"/>
    <cellStyle name="Percent 2" xfId="10" xr:uid="{00000000-0005-0000-0000-000010000000}"/>
  </cellStyles>
  <dxfs count="25">
    <dxf>
      <font>
        <color theme="6"/>
      </font>
    </dxf>
    <dxf>
      <font>
        <color theme="6"/>
      </font>
    </dxf>
    <dxf>
      <fill>
        <patternFill>
          <bgColor theme="5" tint="0.79998168889431442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57150</xdr:rowOff>
    </xdr:from>
    <xdr:to>
      <xdr:col>7</xdr:col>
      <xdr:colOff>339092</xdr:colOff>
      <xdr:row>4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E6CBF9-D20F-4CBE-B574-B92B1C336D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01"/>
        <a:stretch/>
      </xdr:blipFill>
      <xdr:spPr>
        <a:xfrm>
          <a:off x="323850" y="57150"/>
          <a:ext cx="3634742" cy="758190"/>
        </a:xfrm>
        <a:prstGeom prst="rect">
          <a:avLst/>
        </a:prstGeom>
      </xdr:spPr>
    </xdr:pic>
    <xdr:clientData/>
  </xdr:twoCellAnchor>
  <xdr:oneCellAnchor>
    <xdr:from>
      <xdr:col>11</xdr:col>
      <xdr:colOff>207645</xdr:colOff>
      <xdr:row>0</xdr:row>
      <xdr:rowOff>125730</xdr:rowOff>
    </xdr:from>
    <xdr:ext cx="4145280" cy="43678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9118468-688C-46E4-84A3-36BC8E1EB1BD}"/>
            </a:ext>
          </a:extLst>
        </xdr:cNvPr>
        <xdr:cNvSpPr txBox="1"/>
      </xdr:nvSpPr>
      <xdr:spPr>
        <a:xfrm>
          <a:off x="6265545" y="125730"/>
          <a:ext cx="4145280" cy="436786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This is an example of an</a:t>
          </a:r>
          <a:r>
            <a:rPr lang="en-GB" sz="1100" baseline="0"/>
            <a:t> orange text box which has instructions that you can delete once you are up and running</a:t>
          </a:r>
          <a:endParaRPr lang="en-GB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E9A44B-DD3A-452E-8594-75A65C2EC21F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95250</xdr:rowOff>
    </xdr:from>
    <xdr:ext cx="3020060" cy="9689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FE7A41-12C4-46D1-B08A-92A4349A4880}"/>
            </a:ext>
          </a:extLst>
        </xdr:cNvPr>
        <xdr:cNvSpPr txBox="1"/>
      </xdr:nvSpPr>
      <xdr:spPr>
        <a:xfrm>
          <a:off x="647700" y="257175"/>
          <a:ext cx="3020060" cy="96898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/>
            <a:t>Instructions: </a:t>
          </a:r>
        </a:p>
        <a:p>
          <a:r>
            <a:rPr lang="en-GB" sz="1400" i="1"/>
            <a:t>The following tabs are for working out how much Expense you will need for your show. </a:t>
          </a:r>
          <a:endParaRPr lang="en-GB" sz="14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447675</xdr:colOff>
      <xdr:row>3</xdr:row>
      <xdr:rowOff>0</xdr:rowOff>
    </xdr:from>
    <xdr:to>
      <xdr:col>19</xdr:col>
      <xdr:colOff>152400</xdr:colOff>
      <xdr:row>14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594B24A-139D-4CE5-B118-E0274937FFC7}"/>
            </a:ext>
          </a:extLst>
        </xdr:cNvPr>
        <xdr:cNvSpPr txBox="1"/>
      </xdr:nvSpPr>
      <xdr:spPr>
        <a:xfrm>
          <a:off x="10706100" y="495300"/>
          <a:ext cx="4743450" cy="2133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4</xdr:row>
      <xdr:rowOff>152400</xdr:rowOff>
    </xdr:from>
    <xdr:to>
      <xdr:col>15</xdr:col>
      <xdr:colOff>457200</xdr:colOff>
      <xdr:row>12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1646D9-0E9B-4290-9B30-911C85C70671}"/>
            </a:ext>
          </a:extLst>
        </xdr:cNvPr>
        <xdr:cNvSpPr txBox="1"/>
      </xdr:nvSpPr>
      <xdr:spPr>
        <a:xfrm>
          <a:off x="8896350" y="895350"/>
          <a:ext cx="4743450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76199</xdr:colOff>
      <xdr:row>7</xdr:row>
      <xdr:rowOff>133350</xdr:rowOff>
    </xdr:from>
    <xdr:to>
      <xdr:col>17</xdr:col>
      <xdr:colOff>285749</xdr:colOff>
      <xdr:row>32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8673C1-2774-4119-8701-FAA8342F705C}"/>
            </a:ext>
          </a:extLst>
        </xdr:cNvPr>
        <xdr:cNvSpPr txBox="1"/>
      </xdr:nvSpPr>
      <xdr:spPr>
        <a:xfrm>
          <a:off x="10334624" y="1266825"/>
          <a:ext cx="4086225" cy="404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10</xdr:row>
      <xdr:rowOff>19050</xdr:rowOff>
    </xdr:from>
    <xdr:to>
      <xdr:col>5</xdr:col>
      <xdr:colOff>247650</xdr:colOff>
      <xdr:row>18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B8A649-4D94-4AD1-B081-49500CCF44BE}"/>
            </a:ext>
          </a:extLst>
        </xdr:cNvPr>
        <xdr:cNvSpPr txBox="1"/>
      </xdr:nvSpPr>
      <xdr:spPr>
        <a:xfrm>
          <a:off x="552450" y="1657350"/>
          <a:ext cx="4743450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346075</xdr:colOff>
      <xdr:row>23</xdr:row>
      <xdr:rowOff>15875</xdr:rowOff>
    </xdr:from>
    <xdr:to>
      <xdr:col>12</xdr:col>
      <xdr:colOff>107950</xdr:colOff>
      <xdr:row>31</xdr:row>
      <xdr:rowOff>73025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783CEA-C907-42C8-A622-299E60CC42C2}"/>
            </a:ext>
          </a:extLst>
        </xdr:cNvPr>
        <xdr:cNvSpPr txBox="1"/>
      </xdr:nvSpPr>
      <xdr:spPr>
        <a:xfrm>
          <a:off x="346075" y="3940175"/>
          <a:ext cx="11471275" cy="1377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133350</xdr:rowOff>
    </xdr:from>
    <xdr:to>
      <xdr:col>9</xdr:col>
      <xdr:colOff>285750</xdr:colOff>
      <xdr:row>10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3CC5DBC-4250-4723-8933-A3B39405FBC4}"/>
            </a:ext>
          </a:extLst>
        </xdr:cNvPr>
        <xdr:cNvSpPr txBox="1"/>
      </xdr:nvSpPr>
      <xdr:spPr>
        <a:xfrm>
          <a:off x="9677400" y="457200"/>
          <a:ext cx="4743450" cy="1352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190499</xdr:colOff>
      <xdr:row>1</xdr:row>
      <xdr:rowOff>365124</xdr:rowOff>
    </xdr:from>
    <xdr:to>
      <xdr:col>32</xdr:col>
      <xdr:colOff>349653</xdr:colOff>
      <xdr:row>33</xdr:row>
      <xdr:rowOff>158749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74C6B8-B4B8-40B2-9512-6E7A7F466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3259" y="548004"/>
          <a:ext cx="7984894" cy="584390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301624</xdr:colOff>
      <xdr:row>2</xdr:row>
      <xdr:rowOff>142874</xdr:rowOff>
    </xdr:from>
    <xdr:to>
      <xdr:col>34</xdr:col>
      <xdr:colOff>460779</xdr:colOff>
      <xdr:row>34</xdr:row>
      <xdr:rowOff>158749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E5A1B7-228E-4399-B67A-22FE93F65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1064" y="691514"/>
          <a:ext cx="7984894" cy="58680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61914</xdr:colOff>
      <xdr:row>0</xdr:row>
      <xdr:rowOff>57150</xdr:rowOff>
    </xdr:from>
    <xdr:to>
      <xdr:col>2</xdr:col>
      <xdr:colOff>0</xdr:colOff>
      <xdr:row>2</xdr:row>
      <xdr:rowOff>149109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BC6D659E-DBE9-464E-B42A-8E955964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4" y="53340"/>
          <a:ext cx="2077401" cy="476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95250</xdr:rowOff>
    </xdr:from>
    <xdr:ext cx="3020060" cy="96898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E5DA9E-064F-440D-B010-A84EF758F1E1}"/>
            </a:ext>
          </a:extLst>
        </xdr:cNvPr>
        <xdr:cNvSpPr txBox="1"/>
      </xdr:nvSpPr>
      <xdr:spPr>
        <a:xfrm>
          <a:off x="647700" y="257175"/>
          <a:ext cx="3020060" cy="968983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/>
            <a:t>Instructions: </a:t>
          </a:r>
        </a:p>
        <a:p>
          <a:r>
            <a:rPr lang="en-GB" sz="1400" i="1"/>
            <a:t>The following tabs are for working out how much Income you will generate from your show. </a:t>
          </a:r>
          <a:endParaRPr lang="en-GB" sz="14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192404</xdr:colOff>
      <xdr:row>0</xdr:row>
      <xdr:rowOff>95251</xdr:rowOff>
    </xdr:from>
    <xdr:ext cx="14895196" cy="65594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0E02B0-EFDC-46A3-91DA-DA78DBBDBFC9}"/>
            </a:ext>
          </a:extLst>
        </xdr:cNvPr>
        <xdr:cNvSpPr txBox="1"/>
      </xdr:nvSpPr>
      <xdr:spPr>
        <a:xfrm>
          <a:off x="192404" y="95251"/>
          <a:ext cx="14895196" cy="655949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200"/>
            <a:t>Instructions: </a:t>
          </a:r>
        </a:p>
        <a:p>
          <a:r>
            <a:rPr lang="en-GB" sz="1200" i="1"/>
            <a:t>We have filled this out</a:t>
          </a:r>
          <a:r>
            <a:rPr lang="en-GB" sz="1200" i="1" baseline="0"/>
            <a:t> for a Bridewell Show, and would like you to budget at 70% sales of available tickets. If you are pitching a normal Bridewell show, you can leave this as it is! If it's a very well known title you can use 75%.</a:t>
          </a:r>
        </a:p>
        <a:p>
          <a:r>
            <a:rPr lang="en-GB" sz="1200" i="1" baseline="0"/>
            <a:t>You only need to change this if you know what the rights are and they are different from 15% + VAT</a:t>
          </a:r>
        </a:p>
      </xdr:txBody>
    </xdr:sp>
    <xdr:clientData/>
  </xdr:oneCellAnchor>
  <xdr:twoCellAnchor>
    <xdr:from>
      <xdr:col>15</xdr:col>
      <xdr:colOff>723900</xdr:colOff>
      <xdr:row>20</xdr:row>
      <xdr:rowOff>66675</xdr:rowOff>
    </xdr:from>
    <xdr:to>
      <xdr:col>22</xdr:col>
      <xdr:colOff>285750</xdr:colOff>
      <xdr:row>32</xdr:row>
      <xdr:rowOff>104775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878F3E9-7B80-4EFF-813A-592F129F82B5}"/>
            </a:ext>
          </a:extLst>
        </xdr:cNvPr>
        <xdr:cNvSpPr txBox="1"/>
      </xdr:nvSpPr>
      <xdr:spPr>
        <a:xfrm>
          <a:off x="13077825" y="3933825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4</xdr:row>
      <xdr:rowOff>66675</xdr:rowOff>
    </xdr:from>
    <xdr:to>
      <xdr:col>15</xdr:col>
      <xdr:colOff>190500</xdr:colOff>
      <xdr:row>18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A396E2-2262-4A4B-AC31-CFC54A311826}"/>
            </a:ext>
          </a:extLst>
        </xdr:cNvPr>
        <xdr:cNvSpPr txBox="1"/>
      </xdr:nvSpPr>
      <xdr:spPr>
        <a:xfrm>
          <a:off x="6838950" y="1076325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7B2CBBC-8BC8-48BF-ADFA-B5643F819926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22E775-CB7E-426C-AA40-7A8DFF1E1928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104EE5-BE5D-4A53-8215-E8AD8DE2C649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2</xdr:row>
      <xdr:rowOff>133350</xdr:rowOff>
    </xdr:from>
    <xdr:to>
      <xdr:col>17</xdr:col>
      <xdr:colOff>285750</xdr:colOff>
      <xdr:row>17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402814-A750-4F83-A08E-F47DBF564BED}"/>
            </a:ext>
          </a:extLst>
        </xdr:cNvPr>
        <xdr:cNvSpPr txBox="1"/>
      </xdr:nvSpPr>
      <xdr:spPr>
        <a:xfrm>
          <a:off x="8543925" y="457200"/>
          <a:ext cx="4743450" cy="2362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Your Notes: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r>
            <a:rPr lang="en-GB" sz="1100"/>
            <a:t>x</a:t>
          </a:r>
        </a:p>
        <a:p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office.accenture.com/Users/alexis.rose/Dropbox/Centre%20Stage%20Stuff/FAME/FAME%20BUDGE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Budget"/>
      <sheetName val="Payment Tracking"/>
      <sheetName val="Income log"/>
      <sheetName val="Expenditure log"/>
      <sheetName val="MTI"/>
      <sheetName val="Props"/>
      <sheetName val="Participation fees"/>
      <sheetName val="Programme Ads"/>
      <sheetName val="Ticket Income_Budget"/>
      <sheetName val="Income Budget Info"/>
      <sheetName val="Rehearsal Space_Budget"/>
      <sheetName val="Rehearsal Space_Actuals"/>
      <sheetName val="Sound"/>
      <sheetName val="Alexis personal expense Log"/>
      <sheetName val="Scenario"/>
      <sheetName val="Expense Log"/>
    </sheetNames>
    <sheetDataSet>
      <sheetData sheetId="0" refreshError="1"/>
      <sheetData sheetId="1">
        <row r="4">
          <cell r="A4" t="str">
            <v>Venue</v>
          </cell>
          <cell r="H4" t="str">
            <v>Ticket Sales</v>
          </cell>
        </row>
        <row r="5">
          <cell r="A5" t="str">
            <v>Rights  / Licensing</v>
          </cell>
          <cell r="H5" t="str">
            <v>Participation fees</v>
          </cell>
        </row>
        <row r="6">
          <cell r="A6" t="str">
            <v>Script &amp; Score Hire</v>
          </cell>
          <cell r="H6" t="str">
            <v>Programme Sales</v>
          </cell>
        </row>
        <row r="7">
          <cell r="A7" t="str">
            <v>Band</v>
          </cell>
          <cell r="H7" t="str">
            <v>Programme Ads</v>
          </cell>
        </row>
        <row r="8">
          <cell r="A8" t="str">
            <v>Set</v>
          </cell>
          <cell r="H8" t="str">
            <v>Donations</v>
          </cell>
        </row>
        <row r="9">
          <cell r="A9" t="str">
            <v>Props</v>
          </cell>
          <cell r="H9" t="str">
            <v>Sponsorship</v>
          </cell>
        </row>
        <row r="10">
          <cell r="A10" t="str">
            <v>Wardrobe</v>
          </cell>
          <cell r="H10" t="str">
            <v>Fundraising events</v>
          </cell>
        </row>
        <row r="11">
          <cell r="A11" t="str">
            <v>Lighting</v>
          </cell>
          <cell r="H11" t="str">
            <v>Other</v>
          </cell>
        </row>
        <row r="12">
          <cell r="A12" t="str">
            <v>Sound</v>
          </cell>
        </row>
        <row r="13">
          <cell r="A13" t="str">
            <v>Transport</v>
          </cell>
        </row>
        <row r="14">
          <cell r="A14" t="str">
            <v>Marketing</v>
          </cell>
        </row>
        <row r="15">
          <cell r="A15" t="str">
            <v>Fundraising events</v>
          </cell>
        </row>
        <row r="16">
          <cell r="A16" t="str">
            <v>Rehearsal Venue</v>
          </cell>
        </row>
        <row r="17">
          <cell r="A17" t="str">
            <v>Afterparty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 t="str">
            <v>Name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R21"/>
  <sheetViews>
    <sheetView showGridLines="0" tabSelected="1" workbookViewId="0">
      <selection activeCell="J26" sqref="J26"/>
    </sheetView>
  </sheetViews>
  <sheetFormatPr baseColWidth="10" defaultColWidth="8.83203125" defaultRowHeight="13" x14ac:dyDescent="0.15"/>
  <cols>
    <col min="1" max="1" width="6.1640625" customWidth="1"/>
    <col min="2" max="2" width="2.1640625" customWidth="1"/>
  </cols>
  <sheetData>
    <row r="5" spans="2:18" ht="24" customHeight="1" x14ac:dyDescent="0.15">
      <c r="O5" s="187" t="s">
        <v>342</v>
      </c>
      <c r="P5" s="187"/>
      <c r="Q5" s="187"/>
      <c r="R5" s="187"/>
    </row>
    <row r="6" spans="2:18" ht="6.5" customHeight="1" x14ac:dyDescent="0.15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O6" s="187"/>
      <c r="P6" s="187"/>
      <c r="Q6" s="187"/>
      <c r="R6" s="187"/>
    </row>
    <row r="7" spans="2:18" x14ac:dyDescent="0.15">
      <c r="B7" s="103"/>
      <c r="C7" s="103" t="s">
        <v>357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O7" s="188"/>
      <c r="P7" s="188"/>
      <c r="Q7" s="188"/>
      <c r="R7" s="188"/>
    </row>
    <row r="8" spans="2:18" ht="15" x14ac:dyDescent="0.15">
      <c r="B8" s="103"/>
      <c r="C8" s="103" t="s">
        <v>358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O8" s="135">
        <f>1+1</f>
        <v>2</v>
      </c>
      <c r="P8" s="131">
        <f>1*1</f>
        <v>1</v>
      </c>
      <c r="Q8" s="136">
        <f>1*4</f>
        <v>4</v>
      </c>
      <c r="R8" s="137">
        <f>4</f>
        <v>4</v>
      </c>
    </row>
    <row r="9" spans="2:18" x14ac:dyDescent="0.15">
      <c r="B9" s="103"/>
      <c r="C9" s="103" t="s">
        <v>359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2:18" x14ac:dyDescent="0.15">
      <c r="B10" s="103"/>
      <c r="C10" s="103" t="s">
        <v>360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O10" s="69" t="s">
        <v>341</v>
      </c>
    </row>
    <row r="11" spans="2:18" ht="15" x14ac:dyDescent="0.15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O11" s="114">
        <v>3</v>
      </c>
      <c r="P11" s="140">
        <v>200</v>
      </c>
    </row>
    <row r="12" spans="2:18" x14ac:dyDescent="0.15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3" spans="2:18" ht="5.5" customHeight="1" x14ac:dyDescent="0.15"/>
    <row r="14" spans="2:18" x14ac:dyDescent="0.15">
      <c r="C14" s="4" t="s">
        <v>331</v>
      </c>
    </row>
    <row r="16" spans="2:18" x14ac:dyDescent="0.15">
      <c r="C16" s="69" t="s">
        <v>442</v>
      </c>
    </row>
    <row r="17" spans="3:3" x14ac:dyDescent="0.15">
      <c r="C17" s="69" t="s">
        <v>443</v>
      </c>
    </row>
    <row r="18" spans="3:3" x14ac:dyDescent="0.15">
      <c r="C18" s="69" t="s">
        <v>447</v>
      </c>
    </row>
    <row r="19" spans="3:3" x14ac:dyDescent="0.15">
      <c r="C19" s="69" t="s">
        <v>445</v>
      </c>
    </row>
    <row r="21" spans="3:3" x14ac:dyDescent="0.15">
      <c r="C21" s="69" t="s">
        <v>446</v>
      </c>
    </row>
  </sheetData>
  <mergeCells count="1">
    <mergeCell ref="O5:R7"/>
  </mergeCells>
  <conditionalFormatting sqref="O8">
    <cfRule type="cellIs" dxfId="24" priority="5" operator="lessThan">
      <formula>0</formula>
    </cfRule>
  </conditionalFormatting>
  <conditionalFormatting sqref="P8">
    <cfRule type="cellIs" dxfId="23" priority="4" operator="lessThan">
      <formula>0</formula>
    </cfRule>
  </conditionalFormatting>
  <conditionalFormatting sqref="O11">
    <cfRule type="cellIs" dxfId="22" priority="3" operator="lessThan">
      <formula>0</formula>
    </cfRule>
  </conditionalFormatting>
  <conditionalFormatting sqref="R8">
    <cfRule type="cellIs" dxfId="21" priority="2" operator="lessThan">
      <formula>0</formula>
    </cfRule>
  </conditionalFormatting>
  <conditionalFormatting sqref="P11">
    <cfRule type="cellIs" dxfId="2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79998168889431442"/>
  </sheetPr>
  <dimension ref="A2:O9"/>
  <sheetViews>
    <sheetView showGridLines="0" workbookViewId="0">
      <selection activeCell="D10" sqref="D10"/>
    </sheetView>
  </sheetViews>
  <sheetFormatPr baseColWidth="10" defaultColWidth="8.6640625" defaultRowHeight="13" x14ac:dyDescent="0.15"/>
  <cols>
    <col min="1" max="1" width="20.5" style="138" customWidth="1"/>
    <col min="2" max="2" width="10.5" style="138" customWidth="1"/>
    <col min="3" max="3" width="10.5" style="138" bestFit="1" customWidth="1"/>
    <col min="4" max="6" width="8.6640625" style="138"/>
    <col min="7" max="7" width="11" style="138" customWidth="1"/>
    <col min="8" max="8" width="8.83203125" style="138" bestFit="1" customWidth="1"/>
    <col min="9" max="9" width="8.6640625" style="138"/>
    <col min="10" max="10" width="9.6640625" style="138" bestFit="1" customWidth="1"/>
    <col min="11" max="11" width="19.6640625" style="138" bestFit="1" customWidth="1"/>
    <col min="12" max="13" width="11.5" style="138" bestFit="1" customWidth="1"/>
    <col min="14" max="15" width="11.33203125" style="138" bestFit="1" customWidth="1"/>
    <col min="16" max="16" width="12.6640625" style="138" customWidth="1"/>
    <col min="17" max="17" width="11.5" style="138" bestFit="1" customWidth="1"/>
    <col min="18" max="16384" width="8.6640625" style="138"/>
  </cols>
  <sheetData>
    <row r="2" spans="1:15" x14ac:dyDescent="0.15">
      <c r="A2" s="144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4" thickBot="1" x14ac:dyDescent="0.2"/>
    <row r="4" spans="1:15" ht="14" thickBot="1" x14ac:dyDescent="0.2">
      <c r="A4" s="142" t="s">
        <v>356</v>
      </c>
      <c r="B4" s="141">
        <v>400</v>
      </c>
      <c r="D4" s="138" t="s">
        <v>371</v>
      </c>
    </row>
    <row r="5" spans="1:15" x14ac:dyDescent="0.15">
      <c r="D5" s="138" t="s">
        <v>372</v>
      </c>
    </row>
    <row r="6" spans="1:15" x14ac:dyDescent="0.15">
      <c r="D6" s="138" t="s">
        <v>373</v>
      </c>
    </row>
    <row r="7" spans="1:15" x14ac:dyDescent="0.15">
      <c r="D7" s="138" t="s">
        <v>374</v>
      </c>
    </row>
    <row r="8" spans="1:15" x14ac:dyDescent="0.15">
      <c r="D8" s="138" t="s">
        <v>375</v>
      </c>
    </row>
    <row r="9" spans="1:15" x14ac:dyDescent="0.15">
      <c r="D9" s="138" t="s">
        <v>376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79998168889431442"/>
  </sheetPr>
  <dimension ref="A2:O7"/>
  <sheetViews>
    <sheetView showGridLines="0" workbookViewId="0">
      <selection activeCell="E20" sqref="E20"/>
    </sheetView>
  </sheetViews>
  <sheetFormatPr baseColWidth="10" defaultColWidth="8.6640625" defaultRowHeight="13" x14ac:dyDescent="0.15"/>
  <cols>
    <col min="1" max="1" width="20.5" style="138" customWidth="1"/>
    <col min="2" max="2" width="10.5" style="138" customWidth="1"/>
    <col min="3" max="3" width="10.5" style="138" bestFit="1" customWidth="1"/>
    <col min="4" max="6" width="8.6640625" style="138"/>
    <col min="7" max="7" width="11" style="138" customWidth="1"/>
    <col min="8" max="8" width="8.83203125" style="138" bestFit="1" customWidth="1"/>
    <col min="9" max="9" width="8.6640625" style="138"/>
    <col min="10" max="10" width="9.6640625" style="138" bestFit="1" customWidth="1"/>
    <col min="11" max="11" width="19.6640625" style="138" bestFit="1" customWidth="1"/>
    <col min="12" max="13" width="11.5" style="138" bestFit="1" customWidth="1"/>
    <col min="14" max="15" width="11.33203125" style="138" bestFit="1" customWidth="1"/>
    <col min="16" max="16" width="12.6640625" style="138" customWidth="1"/>
    <col min="17" max="17" width="11.5" style="138" bestFit="1" customWidth="1"/>
    <col min="18" max="16384" width="8.6640625" style="138"/>
  </cols>
  <sheetData>
    <row r="2" spans="1:15" x14ac:dyDescent="0.15">
      <c r="A2" s="144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4" thickBot="1" x14ac:dyDescent="0.2"/>
    <row r="4" spans="1:15" ht="14" thickBot="1" x14ac:dyDescent="0.2">
      <c r="A4" s="142" t="s">
        <v>44</v>
      </c>
      <c r="B4" s="141">
        <v>50</v>
      </c>
      <c r="D4" s="138" t="s">
        <v>377</v>
      </c>
    </row>
    <row r="5" spans="1:15" x14ac:dyDescent="0.15">
      <c r="D5" s="138" t="s">
        <v>378</v>
      </c>
    </row>
    <row r="7" spans="1:15" x14ac:dyDescent="0.15">
      <c r="D7" s="138" t="s">
        <v>379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"/>
  <sheetViews>
    <sheetView workbookViewId="0">
      <selection activeCell="H26" sqref="H25:H26"/>
    </sheetView>
  </sheetViews>
  <sheetFormatPr baseColWidth="10" defaultColWidth="8.83203125" defaultRowHeight="13" x14ac:dyDescent="0.15"/>
  <sheetData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79998168889431442"/>
  </sheetPr>
  <dimension ref="A2:O20"/>
  <sheetViews>
    <sheetView showGridLines="0" workbookViewId="0">
      <selection activeCell="K28" sqref="K28"/>
    </sheetView>
  </sheetViews>
  <sheetFormatPr baseColWidth="10" defaultColWidth="8.6640625" defaultRowHeight="13" x14ac:dyDescent="0.15"/>
  <cols>
    <col min="1" max="1" width="31.5" style="138" customWidth="1"/>
    <col min="2" max="2" width="16.33203125" style="138" customWidth="1"/>
    <col min="3" max="3" width="10.5" style="138" bestFit="1" customWidth="1"/>
    <col min="4" max="6" width="8.6640625" style="138"/>
    <col min="7" max="7" width="11" style="138" customWidth="1"/>
    <col min="8" max="8" width="8.83203125" style="138" bestFit="1" customWidth="1"/>
    <col min="9" max="9" width="8.6640625" style="138"/>
    <col min="10" max="10" width="9.6640625" style="138" bestFit="1" customWidth="1"/>
    <col min="11" max="11" width="19.6640625" style="138" bestFit="1" customWidth="1"/>
    <col min="12" max="13" width="11.5" style="138" bestFit="1" customWidth="1"/>
    <col min="14" max="15" width="11.33203125" style="138" bestFit="1" customWidth="1"/>
    <col min="16" max="16" width="12.6640625" style="138" customWidth="1"/>
    <col min="17" max="17" width="11.5" style="138" bestFit="1" customWidth="1"/>
    <col min="18" max="16384" width="8.6640625" style="138"/>
  </cols>
  <sheetData>
    <row r="2" spans="1:15" x14ac:dyDescent="0.15">
      <c r="A2" s="144" t="s">
        <v>404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4" thickBot="1" x14ac:dyDescent="0.2"/>
    <row r="4" spans="1:15" ht="14" thickBot="1" x14ac:dyDescent="0.2">
      <c r="A4" s="142" t="s">
        <v>405</v>
      </c>
      <c r="B4" s="141">
        <v>3160.2</v>
      </c>
      <c r="D4" s="138" t="s">
        <v>459</v>
      </c>
    </row>
    <row r="8" spans="1:15" ht="15" x14ac:dyDescent="0.15">
      <c r="A8" s="142" t="s">
        <v>406</v>
      </c>
      <c r="B8" s="184">
        <f>'1. Ticket Sales'!$H$31</f>
        <v>1881.306</v>
      </c>
      <c r="D8" s="138" t="s">
        <v>383</v>
      </c>
    </row>
    <row r="9" spans="1:15" x14ac:dyDescent="0.15">
      <c r="D9" s="138" t="s">
        <v>384</v>
      </c>
    </row>
    <row r="11" spans="1:15" ht="14" thickBot="1" x14ac:dyDescent="0.2"/>
    <row r="12" spans="1:15" ht="17" thickBot="1" x14ac:dyDescent="0.25">
      <c r="A12" s="142" t="s">
        <v>407</v>
      </c>
      <c r="B12" s="141">
        <v>550</v>
      </c>
      <c r="D12" s="185" t="s">
        <v>385</v>
      </c>
    </row>
    <row r="13" spans="1:15" ht="16" x14ac:dyDescent="0.2">
      <c r="D13" s="185" t="s">
        <v>469</v>
      </c>
    </row>
    <row r="14" spans="1:15" ht="16" x14ac:dyDescent="0.2">
      <c r="D14" s="185" t="s">
        <v>470</v>
      </c>
    </row>
    <row r="15" spans="1:15" ht="16" x14ac:dyDescent="0.2">
      <c r="D15" s="185" t="s">
        <v>471</v>
      </c>
    </row>
    <row r="16" spans="1:15" ht="16" x14ac:dyDescent="0.2">
      <c r="D16" s="186" t="s">
        <v>472</v>
      </c>
    </row>
    <row r="18" spans="4:4" ht="16" x14ac:dyDescent="0.2">
      <c r="D18" s="185" t="s">
        <v>473</v>
      </c>
    </row>
    <row r="19" spans="4:4" ht="16" x14ac:dyDescent="0.2">
      <c r="D19" s="185" t="s">
        <v>386</v>
      </c>
    </row>
    <row r="20" spans="4:4" ht="16" x14ac:dyDescent="0.2">
      <c r="D20" s="185" t="s">
        <v>387</v>
      </c>
    </row>
  </sheetData>
  <conditionalFormatting sqref="B8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79998168889431442"/>
  </sheetPr>
  <dimension ref="A1:O16"/>
  <sheetViews>
    <sheetView showGridLines="0" workbookViewId="0">
      <selection activeCell="E14" sqref="E14"/>
    </sheetView>
  </sheetViews>
  <sheetFormatPr baseColWidth="10" defaultColWidth="8.83203125" defaultRowHeight="29.25" customHeight="1" x14ac:dyDescent="0.15"/>
  <cols>
    <col min="1" max="1" width="40.33203125" bestFit="1" customWidth="1"/>
    <col min="2" max="2" width="10.6640625" bestFit="1" customWidth="1"/>
    <col min="3" max="3" width="40.5" customWidth="1"/>
  </cols>
  <sheetData>
    <row r="1" spans="1:15" s="138" customFormat="1" ht="13" x14ac:dyDescent="0.15"/>
    <row r="2" spans="1:15" s="138" customFormat="1" ht="13" x14ac:dyDescent="0.15">
      <c r="A2" s="144" t="s">
        <v>17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9.5" customHeight="1" x14ac:dyDescent="0.15"/>
    <row r="4" spans="1:15" ht="13.5" customHeight="1" x14ac:dyDescent="0.15">
      <c r="A4" s="101" t="s">
        <v>3</v>
      </c>
      <c r="B4" s="143">
        <f>SUBTOTAL(9,B7:B156)</f>
        <v>1000</v>
      </c>
      <c r="C4" s="101"/>
      <c r="E4" s="69" t="s">
        <v>398</v>
      </c>
    </row>
    <row r="5" spans="1:15" ht="13.5" customHeight="1" x14ac:dyDescent="0.15">
      <c r="A5" s="51" t="s">
        <v>351</v>
      </c>
      <c r="B5" s="143"/>
      <c r="C5" s="51"/>
      <c r="E5" s="69" t="s">
        <v>399</v>
      </c>
    </row>
    <row r="6" spans="1:15" ht="12.75" customHeight="1" x14ac:dyDescent="0.2">
      <c r="A6" s="99" t="s">
        <v>11</v>
      </c>
      <c r="B6" s="100" t="s">
        <v>7</v>
      </c>
      <c r="C6" s="100" t="s">
        <v>353</v>
      </c>
      <c r="E6" s="69" t="s">
        <v>400</v>
      </c>
    </row>
    <row r="7" spans="1:15" ht="15" x14ac:dyDescent="0.2">
      <c r="A7" s="98" t="s">
        <v>388</v>
      </c>
      <c r="B7" s="170">
        <v>0</v>
      </c>
      <c r="C7" s="98" t="s">
        <v>396</v>
      </c>
      <c r="E7" s="69" t="s">
        <v>401</v>
      </c>
    </row>
    <row r="8" spans="1:15" ht="15" x14ac:dyDescent="0.2">
      <c r="A8" s="98" t="s">
        <v>389</v>
      </c>
      <c r="B8" s="170">
        <v>200</v>
      </c>
      <c r="C8" s="98" t="s">
        <v>394</v>
      </c>
      <c r="E8" s="69" t="s">
        <v>402</v>
      </c>
    </row>
    <row r="9" spans="1:15" ht="15" x14ac:dyDescent="0.2">
      <c r="A9" s="98" t="s">
        <v>390</v>
      </c>
      <c r="B9" s="170">
        <v>200</v>
      </c>
      <c r="C9" s="98" t="s">
        <v>355</v>
      </c>
      <c r="E9" s="69" t="s">
        <v>403</v>
      </c>
    </row>
    <row r="10" spans="1:15" ht="15" x14ac:dyDescent="0.2">
      <c r="A10" s="98" t="s">
        <v>391</v>
      </c>
      <c r="B10" s="170">
        <v>200</v>
      </c>
      <c r="C10" s="98" t="s">
        <v>354</v>
      </c>
    </row>
    <row r="11" spans="1:15" ht="15" x14ac:dyDescent="0.2">
      <c r="A11" s="98" t="s">
        <v>392</v>
      </c>
      <c r="B11" s="170">
        <v>200</v>
      </c>
      <c r="C11" s="98" t="s">
        <v>292</v>
      </c>
    </row>
    <row r="12" spans="1:15" ht="15" x14ac:dyDescent="0.2">
      <c r="A12" s="98" t="s">
        <v>393</v>
      </c>
      <c r="B12" s="170">
        <v>200</v>
      </c>
      <c r="C12" s="98" t="s">
        <v>395</v>
      </c>
    </row>
    <row r="13" spans="1:15" ht="13.5" customHeight="1" x14ac:dyDescent="0.15">
      <c r="A13" s="51" t="s">
        <v>352</v>
      </c>
      <c r="B13" s="143"/>
      <c r="C13" s="51"/>
    </row>
    <row r="14" spans="1:15" ht="16" x14ac:dyDescent="0.2">
      <c r="A14" s="69" t="s">
        <v>397</v>
      </c>
      <c r="B14" s="170"/>
      <c r="C14" s="98"/>
      <c r="D14" s="69"/>
      <c r="E14" s="185" t="s">
        <v>474</v>
      </c>
    </row>
    <row r="16" spans="1:15" ht="29.25" customHeight="1" x14ac:dyDescent="0.15">
      <c r="B16" s="102"/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79998168889431442"/>
  </sheetPr>
  <dimension ref="A2:O28"/>
  <sheetViews>
    <sheetView showGridLines="0" workbookViewId="0">
      <selection activeCell="B28" sqref="B28"/>
    </sheetView>
  </sheetViews>
  <sheetFormatPr baseColWidth="10" defaultColWidth="8.6640625" defaultRowHeight="13" x14ac:dyDescent="0.15"/>
  <cols>
    <col min="1" max="1" width="31.5" style="138" customWidth="1"/>
    <col min="2" max="2" width="16.33203125" style="138" customWidth="1"/>
    <col min="3" max="3" width="10.5" style="138" bestFit="1" customWidth="1"/>
    <col min="4" max="6" width="8.6640625" style="138"/>
    <col min="7" max="7" width="11" style="138" customWidth="1"/>
    <col min="8" max="8" width="8.83203125" style="138" bestFit="1" customWidth="1"/>
    <col min="9" max="9" width="8.6640625" style="138"/>
    <col min="10" max="10" width="9.6640625" style="138" bestFit="1" customWidth="1"/>
    <col min="11" max="11" width="19.6640625" style="138" bestFit="1" customWidth="1"/>
    <col min="12" max="13" width="11.5" style="138" bestFit="1" customWidth="1"/>
    <col min="14" max="15" width="11.33203125" style="138" bestFit="1" customWidth="1"/>
    <col min="16" max="16" width="12.6640625" style="138" customWidth="1"/>
    <col min="17" max="17" width="11.5" style="138" bestFit="1" customWidth="1"/>
    <col min="18" max="16384" width="8.6640625" style="138"/>
  </cols>
  <sheetData>
    <row r="2" spans="1:15" x14ac:dyDescent="0.15">
      <c r="A2" s="144" t="s">
        <v>408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s="174" customFormat="1" x14ac:dyDescent="0.1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s="174" customFormat="1" x14ac:dyDescent="0.15">
      <c r="A4" s="175" t="s">
        <v>449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s="174" customFormat="1" x14ac:dyDescent="0.15">
      <c r="A5" s="175" t="s">
        <v>427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s="174" customFormat="1" x14ac:dyDescent="0.1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</row>
    <row r="7" spans="1:15" s="174" customFormat="1" x14ac:dyDescent="0.15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</row>
    <row r="8" spans="1:15" ht="14" thickBot="1" x14ac:dyDescent="0.2"/>
    <row r="9" spans="1:15" ht="14" thickBot="1" x14ac:dyDescent="0.2">
      <c r="A9" s="142" t="s">
        <v>409</v>
      </c>
      <c r="B9" s="141">
        <v>1000</v>
      </c>
      <c r="D9" s="138" t="s">
        <v>424</v>
      </c>
    </row>
    <row r="10" spans="1:15" x14ac:dyDescent="0.15">
      <c r="D10" s="138" t="s">
        <v>460</v>
      </c>
    </row>
    <row r="12" spans="1:15" ht="14" thickBot="1" x14ac:dyDescent="0.2"/>
    <row r="13" spans="1:15" ht="14" thickBot="1" x14ac:dyDescent="0.2">
      <c r="A13" s="142" t="s">
        <v>410</v>
      </c>
      <c r="B13" s="141">
        <v>150</v>
      </c>
      <c r="D13" s="138" t="s">
        <v>424</v>
      </c>
    </row>
    <row r="14" spans="1:15" x14ac:dyDescent="0.15">
      <c r="D14" s="138" t="s">
        <v>434</v>
      </c>
    </row>
    <row r="15" spans="1:15" x14ac:dyDescent="0.15">
      <c r="D15" s="138" t="s">
        <v>461</v>
      </c>
    </row>
    <row r="16" spans="1:15" ht="14" thickBot="1" x14ac:dyDescent="0.2"/>
    <row r="17" spans="1:4" ht="14" thickBot="1" x14ac:dyDescent="0.2">
      <c r="A17" s="142" t="s">
        <v>411</v>
      </c>
      <c r="B17" s="141">
        <v>200</v>
      </c>
      <c r="D17" s="138" t="s">
        <v>424</v>
      </c>
    </row>
    <row r="18" spans="1:4" x14ac:dyDescent="0.15">
      <c r="D18" s="138" t="s">
        <v>432</v>
      </c>
    </row>
    <row r="19" spans="1:4" x14ac:dyDescent="0.15">
      <c r="D19" s="138" t="s">
        <v>433</v>
      </c>
    </row>
    <row r="20" spans="1:4" x14ac:dyDescent="0.15">
      <c r="D20" s="138" t="s">
        <v>425</v>
      </c>
    </row>
    <row r="21" spans="1:4" x14ac:dyDescent="0.15">
      <c r="D21" s="138" t="s">
        <v>462</v>
      </c>
    </row>
    <row r="22" spans="1:4" ht="14" thickBot="1" x14ac:dyDescent="0.2"/>
    <row r="23" spans="1:4" ht="14" thickBot="1" x14ac:dyDescent="0.2">
      <c r="A23" s="142" t="s">
        <v>412</v>
      </c>
      <c r="B23" s="141">
        <v>1400</v>
      </c>
      <c r="D23" s="138" t="s">
        <v>424</v>
      </c>
    </row>
    <row r="24" spans="1:4" x14ac:dyDescent="0.15">
      <c r="D24" s="138" t="s">
        <v>426</v>
      </c>
    </row>
    <row r="25" spans="1:4" x14ac:dyDescent="0.15">
      <c r="D25" s="138" t="s">
        <v>464</v>
      </c>
    </row>
    <row r="26" spans="1:4" ht="14" thickBot="1" x14ac:dyDescent="0.2"/>
    <row r="27" spans="1:4" ht="14" thickBot="1" x14ac:dyDescent="0.2">
      <c r="A27" s="142" t="s">
        <v>413</v>
      </c>
      <c r="B27" s="141">
        <v>1400</v>
      </c>
      <c r="D27" s="138" t="s">
        <v>424</v>
      </c>
    </row>
    <row r="28" spans="1:4" x14ac:dyDescent="0.15">
      <c r="D28" s="138" t="s">
        <v>463</v>
      </c>
    </row>
  </sheetData>
  <conditionalFormatting sqref="B24:B2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79998168889431442"/>
  </sheetPr>
  <dimension ref="A2:O7"/>
  <sheetViews>
    <sheetView showGridLines="0" workbookViewId="0">
      <selection activeCell="B5" sqref="B5"/>
    </sheetView>
  </sheetViews>
  <sheetFormatPr baseColWidth="10" defaultColWidth="8.6640625" defaultRowHeight="13" x14ac:dyDescent="0.15"/>
  <cols>
    <col min="1" max="1" width="31.5" style="138" customWidth="1"/>
    <col min="2" max="2" width="16.33203125" style="138" customWidth="1"/>
    <col min="3" max="3" width="10.5" style="138" bestFit="1" customWidth="1"/>
    <col min="4" max="6" width="8.6640625" style="138"/>
    <col min="7" max="7" width="11" style="138" customWidth="1"/>
    <col min="8" max="8" width="8.83203125" style="138" bestFit="1" customWidth="1"/>
    <col min="9" max="9" width="8.6640625" style="138"/>
    <col min="10" max="10" width="9.6640625" style="138" bestFit="1" customWidth="1"/>
    <col min="11" max="11" width="19.6640625" style="138" bestFit="1" customWidth="1"/>
    <col min="12" max="13" width="11.5" style="138" bestFit="1" customWidth="1"/>
    <col min="14" max="15" width="11.33203125" style="138" bestFit="1" customWidth="1"/>
    <col min="16" max="16" width="12.6640625" style="138" customWidth="1"/>
    <col min="17" max="17" width="11.5" style="138" bestFit="1" customWidth="1"/>
    <col min="18" max="16384" width="8.6640625" style="138"/>
  </cols>
  <sheetData>
    <row r="2" spans="1:15" x14ac:dyDescent="0.15">
      <c r="A2" s="144" t="s">
        <v>415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4" thickBot="1" x14ac:dyDescent="0.2"/>
    <row r="4" spans="1:15" ht="14" thickBot="1" x14ac:dyDescent="0.2">
      <c r="A4" s="142" t="s">
        <v>414</v>
      </c>
      <c r="B4" s="141">
        <v>250</v>
      </c>
      <c r="E4" s="138" t="s">
        <v>450</v>
      </c>
    </row>
    <row r="5" spans="1:15" x14ac:dyDescent="0.15">
      <c r="E5" s="138" t="s">
        <v>468</v>
      </c>
    </row>
    <row r="6" spans="1:15" x14ac:dyDescent="0.15">
      <c r="E6" s="138" t="s">
        <v>431</v>
      </c>
    </row>
    <row r="7" spans="1:15" x14ac:dyDescent="0.15">
      <c r="E7" s="138" t="s">
        <v>430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79998168889431442"/>
  </sheetPr>
  <dimension ref="A2:O19"/>
  <sheetViews>
    <sheetView showGridLines="0" workbookViewId="0">
      <selection activeCell="K11" sqref="K11"/>
    </sheetView>
  </sheetViews>
  <sheetFormatPr baseColWidth="10" defaultColWidth="8.6640625" defaultRowHeight="13" x14ac:dyDescent="0.15"/>
  <cols>
    <col min="1" max="1" width="31.5" style="138" customWidth="1"/>
    <col min="2" max="2" width="16.33203125" style="138" customWidth="1"/>
    <col min="3" max="3" width="10.5" style="138" bestFit="1" customWidth="1"/>
    <col min="4" max="6" width="8.6640625" style="138"/>
    <col min="7" max="7" width="11" style="138" customWidth="1"/>
    <col min="8" max="8" width="8.83203125" style="138" bestFit="1" customWidth="1"/>
    <col min="9" max="9" width="8.6640625" style="138"/>
    <col min="10" max="10" width="9.6640625" style="138" bestFit="1" customWidth="1"/>
    <col min="11" max="11" width="19.6640625" style="139" bestFit="1" customWidth="1"/>
    <col min="12" max="13" width="11.5" style="138" bestFit="1" customWidth="1"/>
    <col min="14" max="15" width="11.33203125" style="138" bestFit="1" customWidth="1"/>
    <col min="16" max="16" width="12.6640625" style="138" customWidth="1"/>
    <col min="17" max="17" width="11.5" style="138" bestFit="1" customWidth="1"/>
    <col min="18" max="16384" width="8.6640625" style="138"/>
  </cols>
  <sheetData>
    <row r="2" spans="1:15" x14ac:dyDescent="0.15">
      <c r="A2" s="144" t="s">
        <v>415</v>
      </c>
      <c r="B2" s="145"/>
      <c r="C2" s="145"/>
      <c r="D2" s="145"/>
      <c r="E2" s="145"/>
      <c r="F2" s="145"/>
      <c r="G2" s="145"/>
      <c r="H2" s="145"/>
      <c r="I2" s="145"/>
      <c r="J2" s="145"/>
      <c r="K2" s="171"/>
      <c r="L2" s="145"/>
      <c r="M2" s="145"/>
      <c r="N2" s="145"/>
      <c r="O2" s="145"/>
    </row>
    <row r="3" spans="1:15" ht="14" thickBot="1" x14ac:dyDescent="0.2"/>
    <row r="4" spans="1:15" ht="14" thickBot="1" x14ac:dyDescent="0.2">
      <c r="A4" s="142" t="s">
        <v>416</v>
      </c>
      <c r="B4" s="141">
        <f>K7+K10+K14+K17+K19</f>
        <v>560</v>
      </c>
      <c r="D4" s="138" t="s">
        <v>417</v>
      </c>
    </row>
    <row r="5" spans="1:15" x14ac:dyDescent="0.15">
      <c r="D5" s="138" t="s">
        <v>418</v>
      </c>
    </row>
    <row r="6" spans="1:15" ht="14" thickBot="1" x14ac:dyDescent="0.2"/>
    <row r="7" spans="1:15" ht="14" thickBot="1" x14ac:dyDescent="0.2">
      <c r="D7" s="138" t="s">
        <v>419</v>
      </c>
      <c r="K7" s="141">
        <v>80</v>
      </c>
    </row>
    <row r="8" spans="1:15" x14ac:dyDescent="0.15">
      <c r="D8" s="138" t="s">
        <v>428</v>
      </c>
    </row>
    <row r="9" spans="1:15" ht="14" thickBot="1" x14ac:dyDescent="0.2"/>
    <row r="10" spans="1:15" ht="14" thickBot="1" x14ac:dyDescent="0.2">
      <c r="D10" s="138" t="s">
        <v>420</v>
      </c>
      <c r="K10" s="141">
        <v>150</v>
      </c>
    </row>
    <row r="11" spans="1:15" x14ac:dyDescent="0.15">
      <c r="D11" s="138" t="s">
        <v>465</v>
      </c>
    </row>
    <row r="12" spans="1:15" x14ac:dyDescent="0.15">
      <c r="D12" s="138" t="s">
        <v>429</v>
      </c>
    </row>
    <row r="13" spans="1:15" ht="14" thickBot="1" x14ac:dyDescent="0.2">
      <c r="K13" s="138"/>
    </row>
    <row r="14" spans="1:15" ht="14" thickBot="1" x14ac:dyDescent="0.2">
      <c r="D14" s="138" t="s">
        <v>421</v>
      </c>
      <c r="K14" s="141">
        <v>30</v>
      </c>
    </row>
    <row r="15" spans="1:15" x14ac:dyDescent="0.15">
      <c r="D15" s="138" t="s">
        <v>422</v>
      </c>
    </row>
    <row r="16" spans="1:15" ht="14" thickBot="1" x14ac:dyDescent="0.2"/>
    <row r="17" spans="4:11" ht="14" thickBot="1" x14ac:dyDescent="0.2">
      <c r="D17" s="138" t="s">
        <v>475</v>
      </c>
      <c r="K17" s="141">
        <v>150</v>
      </c>
    </row>
    <row r="18" spans="4:11" ht="14" thickBot="1" x14ac:dyDescent="0.2"/>
    <row r="19" spans="4:11" ht="14" thickBot="1" x14ac:dyDescent="0.2">
      <c r="D19" s="138" t="s">
        <v>476</v>
      </c>
      <c r="K19" s="141">
        <v>150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79998168889431442"/>
  </sheetPr>
  <dimension ref="A2:G12"/>
  <sheetViews>
    <sheetView showGridLines="0" workbookViewId="0">
      <selection activeCell="C24" sqref="C24"/>
    </sheetView>
  </sheetViews>
  <sheetFormatPr baseColWidth="10" defaultColWidth="8.6640625" defaultRowHeight="13" x14ac:dyDescent="0.15"/>
  <cols>
    <col min="1" max="1" width="31.5" style="138" customWidth="1"/>
    <col min="2" max="2" width="16.33203125" style="138" customWidth="1"/>
    <col min="3" max="3" width="10.5" style="138" bestFit="1" customWidth="1"/>
    <col min="4" max="5" width="11.5" style="138" bestFit="1" customWidth="1"/>
    <col min="6" max="7" width="11.33203125" style="138" bestFit="1" customWidth="1"/>
    <col min="8" max="8" width="12.6640625" style="138" customWidth="1"/>
    <col min="9" max="9" width="11.5" style="138" bestFit="1" customWidth="1"/>
    <col min="10" max="16384" width="8.6640625" style="138"/>
  </cols>
  <sheetData>
    <row r="2" spans="1:7" x14ac:dyDescent="0.15">
      <c r="A2" s="144" t="s">
        <v>415</v>
      </c>
      <c r="B2" s="145"/>
      <c r="C2" s="145"/>
      <c r="D2" s="145"/>
      <c r="E2" s="145"/>
      <c r="F2" s="145"/>
      <c r="G2" s="145"/>
    </row>
    <row r="3" spans="1:7" ht="14" thickBot="1" x14ac:dyDescent="0.2"/>
    <row r="4" spans="1:7" ht="14" thickBot="1" x14ac:dyDescent="0.2">
      <c r="A4" s="142" t="s">
        <v>423</v>
      </c>
      <c r="B4" s="141">
        <v>1550</v>
      </c>
    </row>
    <row r="6" spans="1:7" x14ac:dyDescent="0.15">
      <c r="A6" s="138" t="s">
        <v>451</v>
      </c>
    </row>
    <row r="7" spans="1:7" x14ac:dyDescent="0.15">
      <c r="A7" s="138" t="s">
        <v>437</v>
      </c>
    </row>
    <row r="8" spans="1:7" x14ac:dyDescent="0.15">
      <c r="A8" s="138" t="s">
        <v>438</v>
      </c>
    </row>
    <row r="9" spans="1:7" x14ac:dyDescent="0.15">
      <c r="A9" s="138" t="s">
        <v>439</v>
      </c>
    </row>
    <row r="10" spans="1:7" x14ac:dyDescent="0.15">
      <c r="A10" s="138" t="s">
        <v>440</v>
      </c>
    </row>
    <row r="11" spans="1:7" x14ac:dyDescent="0.15">
      <c r="A11" s="138" t="s">
        <v>441</v>
      </c>
    </row>
    <row r="12" spans="1:7" x14ac:dyDescent="0.15">
      <c r="A12" s="138" t="s">
        <v>466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4"/>
  <sheetViews>
    <sheetView topLeftCell="A2" zoomScale="80" zoomScaleNormal="80" zoomScalePageLayoutView="80" workbookViewId="0">
      <selection activeCell="A2" sqref="A1:I1048576"/>
    </sheetView>
  </sheetViews>
  <sheetFormatPr baseColWidth="10" defaultColWidth="20.5" defaultRowHeight="15" x14ac:dyDescent="0.2"/>
  <cols>
    <col min="1" max="2" width="20.5" style="1"/>
    <col min="3" max="3" width="20.5" style="14"/>
    <col min="4" max="4" width="20.5" style="1"/>
    <col min="5" max="5" width="23.6640625" style="1" bestFit="1" customWidth="1"/>
    <col min="6" max="16384" width="20.5" style="1"/>
  </cols>
  <sheetData>
    <row r="1" spans="1:9" x14ac:dyDescent="0.2">
      <c r="C1" s="83">
        <f>C2/(C2+B2)</f>
        <v>1</v>
      </c>
    </row>
    <row r="2" spans="1:9" x14ac:dyDescent="0.2">
      <c r="B2" s="80">
        <f>SUBTOTAL(9,B4:B40)</f>
        <v>0</v>
      </c>
      <c r="C2" s="80">
        <f>SUBTOTAL(9,C4:C40)</f>
        <v>2098.8199999999997</v>
      </c>
      <c r="D2" s="83">
        <f>1-(B2/(B2+C2))</f>
        <v>1</v>
      </c>
      <c r="F2" s="1">
        <f>COUNTIF(F4:F34,"to PayPal")</f>
        <v>1</v>
      </c>
    </row>
    <row r="3" spans="1:9" s="16" customFormat="1" ht="16" thickBot="1" x14ac:dyDescent="0.25">
      <c r="A3" s="12" t="s">
        <v>11</v>
      </c>
      <c r="B3" s="12" t="s">
        <v>174</v>
      </c>
      <c r="C3" s="13" t="s">
        <v>12</v>
      </c>
      <c r="D3" s="12" t="s">
        <v>39</v>
      </c>
      <c r="E3" s="12" t="s">
        <v>178</v>
      </c>
      <c r="F3" s="12" t="s">
        <v>13</v>
      </c>
      <c r="G3" s="16" t="s">
        <v>31</v>
      </c>
    </row>
    <row r="4" spans="1:9" ht="16" thickBot="1" x14ac:dyDescent="0.25">
      <c r="A4" s="82" t="s">
        <v>153</v>
      </c>
      <c r="B4" s="79">
        <f t="shared" ref="B4:B16" si="0">70-C4</f>
        <v>0</v>
      </c>
      <c r="C4" s="14">
        <v>70</v>
      </c>
      <c r="D4" s="17">
        <v>42801</v>
      </c>
      <c r="F4" s="1" t="s">
        <v>175</v>
      </c>
    </row>
    <row r="5" spans="1:9" ht="16" thickBot="1" x14ac:dyDescent="0.25">
      <c r="A5" s="82" t="s">
        <v>146</v>
      </c>
      <c r="B5" s="79">
        <f t="shared" si="0"/>
        <v>0</v>
      </c>
      <c r="C5" s="14">
        <v>70</v>
      </c>
      <c r="D5" s="17">
        <v>42796</v>
      </c>
    </row>
    <row r="6" spans="1:9" ht="16" thickBot="1" x14ac:dyDescent="0.25">
      <c r="A6" s="82" t="s">
        <v>151</v>
      </c>
      <c r="B6" s="79">
        <f t="shared" si="0"/>
        <v>0</v>
      </c>
      <c r="C6" s="14">
        <v>70</v>
      </c>
      <c r="D6" s="17">
        <v>42757</v>
      </c>
      <c r="E6" s="17">
        <v>42794</v>
      </c>
      <c r="F6" s="1" t="s">
        <v>175</v>
      </c>
      <c r="I6" s="80">
        <f>B2+C2+1.18+70</f>
        <v>2169.9999999999995</v>
      </c>
    </row>
    <row r="7" spans="1:9" ht="16" thickBot="1" x14ac:dyDescent="0.25">
      <c r="A7" s="82" t="s">
        <v>148</v>
      </c>
      <c r="B7" s="79">
        <f t="shared" si="0"/>
        <v>0</v>
      </c>
      <c r="C7" s="14">
        <v>70</v>
      </c>
      <c r="D7" s="17">
        <v>42766</v>
      </c>
      <c r="E7" s="17">
        <v>42794</v>
      </c>
      <c r="F7" s="1" t="s">
        <v>175</v>
      </c>
    </row>
    <row r="8" spans="1:9" ht="16" thickBot="1" x14ac:dyDescent="0.25">
      <c r="A8" s="82" t="s">
        <v>138</v>
      </c>
      <c r="B8" s="79">
        <f t="shared" si="0"/>
        <v>0</v>
      </c>
      <c r="C8" s="14">
        <v>70</v>
      </c>
      <c r="D8" s="17">
        <v>42766</v>
      </c>
      <c r="E8" s="17">
        <v>42807</v>
      </c>
      <c r="F8" s="1" t="s">
        <v>175</v>
      </c>
    </row>
    <row r="9" spans="1:9" ht="16" thickBot="1" x14ac:dyDescent="0.25">
      <c r="A9" s="82" t="s">
        <v>149</v>
      </c>
      <c r="B9" s="79">
        <f t="shared" si="0"/>
        <v>0</v>
      </c>
      <c r="C9" s="14">
        <v>70</v>
      </c>
      <c r="D9" s="17">
        <v>42761</v>
      </c>
      <c r="E9" s="17">
        <v>42790</v>
      </c>
      <c r="F9" s="1" t="s">
        <v>175</v>
      </c>
    </row>
    <row r="10" spans="1:9" ht="16" thickBot="1" x14ac:dyDescent="0.25">
      <c r="A10" s="82" t="s">
        <v>141</v>
      </c>
      <c r="B10" s="79">
        <f t="shared" si="0"/>
        <v>0</v>
      </c>
      <c r="C10" s="14">
        <v>70</v>
      </c>
      <c r="D10" s="17">
        <v>42762</v>
      </c>
      <c r="E10" s="17">
        <v>42792</v>
      </c>
      <c r="F10" s="1" t="s">
        <v>175</v>
      </c>
    </row>
    <row r="11" spans="1:9" ht="16" thickBot="1" x14ac:dyDescent="0.25">
      <c r="A11" s="82" t="s">
        <v>163</v>
      </c>
      <c r="B11" s="79">
        <f t="shared" si="0"/>
        <v>0</v>
      </c>
      <c r="C11" s="14">
        <v>70</v>
      </c>
      <c r="D11" s="17">
        <v>42764</v>
      </c>
      <c r="E11" s="17">
        <v>42793</v>
      </c>
      <c r="F11" s="1" t="s">
        <v>175</v>
      </c>
    </row>
    <row r="12" spans="1:9" ht="16" thickBot="1" x14ac:dyDescent="0.25">
      <c r="A12" s="82" t="s">
        <v>142</v>
      </c>
      <c r="B12" s="79">
        <f t="shared" si="0"/>
        <v>0</v>
      </c>
      <c r="C12" s="14">
        <v>70</v>
      </c>
      <c r="D12" s="17">
        <v>42725</v>
      </c>
      <c r="E12" s="17"/>
      <c r="F12" s="1" t="s">
        <v>172</v>
      </c>
    </row>
    <row r="13" spans="1:9" ht="16" thickBot="1" x14ac:dyDescent="0.25">
      <c r="A13" s="82" t="s">
        <v>147</v>
      </c>
      <c r="B13" s="79">
        <f t="shared" si="0"/>
        <v>0</v>
      </c>
      <c r="C13" s="14">
        <f>30+30+10</f>
        <v>70</v>
      </c>
      <c r="D13" s="17">
        <v>42726</v>
      </c>
      <c r="E13" s="17">
        <v>42767</v>
      </c>
      <c r="F13" s="1" t="s">
        <v>172</v>
      </c>
    </row>
    <row r="14" spans="1:9" ht="16" thickBot="1" x14ac:dyDescent="0.25">
      <c r="A14" s="82" t="s">
        <v>144</v>
      </c>
      <c r="B14" s="79">
        <f t="shared" si="0"/>
        <v>0</v>
      </c>
      <c r="C14" s="14">
        <v>70</v>
      </c>
      <c r="D14" s="17">
        <v>42737</v>
      </c>
      <c r="E14" s="17"/>
      <c r="F14" s="1" t="s">
        <v>172</v>
      </c>
    </row>
    <row r="15" spans="1:9" ht="16" thickBot="1" x14ac:dyDescent="0.25">
      <c r="A15" s="82" t="s">
        <v>150</v>
      </c>
      <c r="B15" s="79">
        <f t="shared" si="0"/>
        <v>0</v>
      </c>
      <c r="C15" s="14">
        <f>40+30</f>
        <v>70</v>
      </c>
      <c r="D15" s="17">
        <v>42742</v>
      </c>
      <c r="E15" s="17">
        <v>42768</v>
      </c>
      <c r="F15" s="1" t="s">
        <v>175</v>
      </c>
    </row>
    <row r="16" spans="1:9" ht="16" thickBot="1" x14ac:dyDescent="0.25">
      <c r="A16" s="82" t="s">
        <v>155</v>
      </c>
      <c r="B16" s="79">
        <f t="shared" si="0"/>
        <v>0</v>
      </c>
      <c r="C16" s="14">
        <v>70</v>
      </c>
      <c r="D16" s="17">
        <v>42755</v>
      </c>
      <c r="E16" s="17"/>
      <c r="F16" s="1" t="s">
        <v>175</v>
      </c>
    </row>
    <row r="17" spans="1:7" ht="16" thickBot="1" x14ac:dyDescent="0.25">
      <c r="A17" s="82" t="s">
        <v>154</v>
      </c>
      <c r="B17" s="79">
        <v>0</v>
      </c>
      <c r="C17" s="14">
        <v>68.819999999999993</v>
      </c>
      <c r="D17" s="17">
        <v>42757</v>
      </c>
      <c r="E17" s="17"/>
      <c r="F17" s="1" t="s">
        <v>176</v>
      </c>
      <c r="G17" s="1" t="s">
        <v>177</v>
      </c>
    </row>
    <row r="18" spans="1:7" ht="16" thickBot="1" x14ac:dyDescent="0.25">
      <c r="A18" s="82" t="s">
        <v>158</v>
      </c>
      <c r="B18" s="79">
        <f t="shared" ref="B18:B27" si="1">70-C18</f>
        <v>0</v>
      </c>
      <c r="C18" s="14">
        <v>70</v>
      </c>
      <c r="D18" s="17">
        <v>42757</v>
      </c>
      <c r="E18" s="17"/>
      <c r="F18" s="1" t="s">
        <v>175</v>
      </c>
    </row>
    <row r="19" spans="1:7" ht="16" thickBot="1" x14ac:dyDescent="0.25">
      <c r="A19" s="82" t="s">
        <v>152</v>
      </c>
      <c r="B19" s="79">
        <f t="shared" si="1"/>
        <v>0</v>
      </c>
      <c r="C19" s="14">
        <v>70</v>
      </c>
      <c r="D19" s="17">
        <v>42761</v>
      </c>
      <c r="E19" s="17"/>
      <c r="F19" s="1" t="s">
        <v>175</v>
      </c>
    </row>
    <row r="20" spans="1:7" ht="16" thickBot="1" x14ac:dyDescent="0.25">
      <c r="A20" s="82" t="s">
        <v>139</v>
      </c>
      <c r="B20" s="79">
        <f t="shared" si="1"/>
        <v>0</v>
      </c>
      <c r="C20" s="14">
        <v>70</v>
      </c>
      <c r="D20" s="17">
        <v>42761</v>
      </c>
      <c r="E20" s="17"/>
      <c r="F20" s="1" t="s">
        <v>175</v>
      </c>
    </row>
    <row r="21" spans="1:7" ht="16" thickBot="1" x14ac:dyDescent="0.25">
      <c r="A21" s="82" t="s">
        <v>137</v>
      </c>
      <c r="B21" s="79">
        <f t="shared" si="1"/>
        <v>0</v>
      </c>
      <c r="C21" s="14">
        <v>70</v>
      </c>
      <c r="D21" s="17">
        <v>42761</v>
      </c>
      <c r="E21" s="17"/>
      <c r="F21" s="1" t="s">
        <v>175</v>
      </c>
    </row>
    <row r="22" spans="1:7" ht="16" thickBot="1" x14ac:dyDescent="0.25">
      <c r="A22" s="82" t="s">
        <v>156</v>
      </c>
      <c r="B22" s="79">
        <f t="shared" si="1"/>
        <v>0</v>
      </c>
      <c r="C22" s="14">
        <v>70</v>
      </c>
      <c r="D22" s="17">
        <v>42761</v>
      </c>
      <c r="E22" s="17"/>
      <c r="F22" s="1" t="s">
        <v>175</v>
      </c>
    </row>
    <row r="23" spans="1:7" ht="16" thickBot="1" x14ac:dyDescent="0.25">
      <c r="A23" s="82" t="s">
        <v>134</v>
      </c>
      <c r="B23" s="79">
        <f t="shared" si="1"/>
        <v>0</v>
      </c>
      <c r="C23" s="14">
        <v>70</v>
      </c>
      <c r="D23" s="17">
        <v>42761</v>
      </c>
      <c r="E23" s="17"/>
      <c r="F23" s="1" t="s">
        <v>175</v>
      </c>
    </row>
    <row r="24" spans="1:7" ht="16" thickBot="1" x14ac:dyDescent="0.25">
      <c r="A24" s="82" t="s">
        <v>140</v>
      </c>
      <c r="B24" s="79">
        <f t="shared" si="1"/>
        <v>0</v>
      </c>
      <c r="C24" s="14">
        <v>70</v>
      </c>
      <c r="D24" s="17">
        <v>42761</v>
      </c>
      <c r="E24" s="17"/>
      <c r="F24" s="1" t="s">
        <v>175</v>
      </c>
    </row>
    <row r="25" spans="1:7" ht="16" thickBot="1" x14ac:dyDescent="0.25">
      <c r="A25" s="82" t="s">
        <v>161</v>
      </c>
      <c r="B25" s="79">
        <f t="shared" si="1"/>
        <v>0</v>
      </c>
      <c r="C25" s="14">
        <v>70</v>
      </c>
      <c r="D25" s="17">
        <v>42761</v>
      </c>
      <c r="E25" s="17"/>
      <c r="F25" s="1" t="s">
        <v>175</v>
      </c>
    </row>
    <row r="26" spans="1:7" ht="16" thickBot="1" x14ac:dyDescent="0.25">
      <c r="A26" s="82" t="s">
        <v>157</v>
      </c>
      <c r="B26" s="79">
        <f t="shared" si="1"/>
        <v>0</v>
      </c>
      <c r="C26" s="14">
        <v>70</v>
      </c>
      <c r="D26" s="17">
        <v>42762</v>
      </c>
      <c r="E26" s="17"/>
      <c r="F26" s="1" t="s">
        <v>175</v>
      </c>
    </row>
    <row r="27" spans="1:7" ht="16" thickBot="1" x14ac:dyDescent="0.25">
      <c r="A27" s="82" t="s">
        <v>145</v>
      </c>
      <c r="B27" s="79">
        <f t="shared" si="1"/>
        <v>0</v>
      </c>
      <c r="C27" s="14">
        <v>70</v>
      </c>
      <c r="D27" s="17">
        <v>42762</v>
      </c>
      <c r="E27" s="17"/>
      <c r="F27" s="1" t="s">
        <v>175</v>
      </c>
    </row>
    <row r="28" spans="1:7" ht="16" thickBot="1" x14ac:dyDescent="0.25">
      <c r="A28" s="82" t="s">
        <v>162</v>
      </c>
      <c r="B28" s="79">
        <v>0</v>
      </c>
      <c r="G28" s="1" t="s">
        <v>173</v>
      </c>
    </row>
    <row r="29" spans="1:7" ht="16" thickBot="1" x14ac:dyDescent="0.25">
      <c r="A29" s="82" t="s">
        <v>136</v>
      </c>
      <c r="B29" s="79">
        <f t="shared" ref="B29:B34" si="2">70-C29</f>
        <v>0</v>
      </c>
      <c r="C29" s="14">
        <v>70</v>
      </c>
      <c r="D29" s="17">
        <v>42764</v>
      </c>
      <c r="E29" s="17"/>
      <c r="F29" s="1" t="s">
        <v>175</v>
      </c>
    </row>
    <row r="30" spans="1:7" ht="16" thickBot="1" x14ac:dyDescent="0.25">
      <c r="A30" s="82" t="s">
        <v>135</v>
      </c>
      <c r="B30" s="79">
        <f t="shared" si="2"/>
        <v>0</v>
      </c>
      <c r="C30" s="14">
        <v>70</v>
      </c>
      <c r="D30" s="17">
        <v>42765</v>
      </c>
      <c r="E30" s="17"/>
      <c r="F30" s="1" t="s">
        <v>175</v>
      </c>
    </row>
    <row r="31" spans="1:7" ht="16" thickBot="1" x14ac:dyDescent="0.25">
      <c r="A31" s="82" t="s">
        <v>164</v>
      </c>
      <c r="B31" s="79">
        <f t="shared" si="2"/>
        <v>0</v>
      </c>
      <c r="C31" s="14">
        <v>70</v>
      </c>
      <c r="D31" s="17">
        <v>42766</v>
      </c>
      <c r="F31" s="1" t="s">
        <v>175</v>
      </c>
    </row>
    <row r="32" spans="1:7" ht="16" thickBot="1" x14ac:dyDescent="0.25">
      <c r="A32" s="82" t="s">
        <v>143</v>
      </c>
      <c r="B32" s="79">
        <f t="shared" si="2"/>
        <v>0</v>
      </c>
      <c r="C32" s="14">
        <v>70</v>
      </c>
      <c r="D32" s="17">
        <v>42766</v>
      </c>
      <c r="E32" s="17"/>
      <c r="F32" s="1" t="s">
        <v>175</v>
      </c>
    </row>
    <row r="33" spans="1:6" ht="16" thickBot="1" x14ac:dyDescent="0.25">
      <c r="A33" s="82" t="s">
        <v>159</v>
      </c>
      <c r="B33" s="79">
        <f t="shared" si="2"/>
        <v>0</v>
      </c>
      <c r="C33" s="14">
        <v>70</v>
      </c>
      <c r="D33" s="17">
        <v>42769</v>
      </c>
      <c r="F33" s="1" t="s">
        <v>175</v>
      </c>
    </row>
    <row r="34" spans="1:6" ht="16" thickBot="1" x14ac:dyDescent="0.25">
      <c r="A34" s="82" t="s">
        <v>160</v>
      </c>
      <c r="B34" s="79">
        <f t="shared" si="2"/>
        <v>0</v>
      </c>
      <c r="C34" s="14">
        <v>70</v>
      </c>
      <c r="D34" s="17">
        <v>42773</v>
      </c>
      <c r="F34" s="1" t="s">
        <v>175</v>
      </c>
    </row>
  </sheetData>
  <autoFilter ref="A3:G34" xr:uid="{00000000-0009-0000-0000-000012000000}">
    <sortState xmlns:xlrd2="http://schemas.microsoft.com/office/spreadsheetml/2017/richdata2" ref="A4:G34">
      <sortCondition descending="1" ref="B3:B34"/>
    </sortState>
  </autoFilter>
  <sortState xmlns:xlrd2="http://schemas.microsoft.com/office/spreadsheetml/2017/richdata2" ref="A2:A32">
    <sortCondition ref="A2"/>
  </sortState>
  <conditionalFormatting sqref="A4:A34">
    <cfRule type="expression" dxfId="4" priority="1">
      <formula>B4=70</formula>
    </cfRule>
    <cfRule type="expression" dxfId="3" priority="3">
      <formula>B4=0</formula>
    </cfRule>
  </conditionalFormatting>
  <conditionalFormatting sqref="A5:A34">
    <cfRule type="expression" dxfId="2" priority="2">
      <formula>B5=70</formula>
    </cfRule>
  </conditionalFormatting>
  <pageMargins left="0.7" right="0.7" top="0.75" bottom="0.75" header="0.3" footer="0.3"/>
  <pageSetup paperSize="9" orientation="portrait" verticalDpi="36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O35"/>
  <sheetViews>
    <sheetView showGridLines="0" workbookViewId="0">
      <selection activeCell="F36" sqref="F36"/>
    </sheetView>
  </sheetViews>
  <sheetFormatPr baseColWidth="10" defaultColWidth="9.1640625" defaultRowHeight="15" x14ac:dyDescent="0.15"/>
  <cols>
    <col min="1" max="1" width="4.83203125" style="107" customWidth="1"/>
    <col min="2" max="2" width="23.5" style="111" bestFit="1" customWidth="1"/>
    <col min="3" max="3" width="16.6640625" style="112" customWidth="1"/>
    <col min="4" max="4" width="35" style="129" customWidth="1"/>
    <col min="5" max="5" width="7.33203125" style="107" customWidth="1"/>
    <col min="6" max="6" width="9.1640625" style="107"/>
    <col min="7" max="7" width="13.6640625" style="107" customWidth="1"/>
    <col min="8" max="8" width="6.33203125" style="107" customWidth="1"/>
    <col min="9" max="9" width="11.1640625" style="107" customWidth="1"/>
    <col min="10" max="10" width="10.5" style="107" bestFit="1" customWidth="1"/>
    <col min="11" max="16384" width="9.1640625" style="107"/>
  </cols>
  <sheetData>
    <row r="1" spans="1:15" x14ac:dyDescent="0.15">
      <c r="A1" s="106"/>
      <c r="B1" s="106"/>
      <c r="C1" s="106"/>
      <c r="D1" s="126"/>
    </row>
    <row r="2" spans="1:15" ht="16" thickBot="1" x14ac:dyDescent="0.2">
      <c r="A2" s="104"/>
      <c r="B2" s="105"/>
      <c r="C2" s="106"/>
      <c r="D2" s="126"/>
      <c r="J2" s="125" t="s">
        <v>364</v>
      </c>
    </row>
    <row r="3" spans="1:15" x14ac:dyDescent="0.15">
      <c r="B3" s="105"/>
      <c r="C3" s="106"/>
      <c r="D3" s="126"/>
      <c r="J3" s="189" t="s">
        <v>365</v>
      </c>
      <c r="K3" s="190"/>
      <c r="L3" s="190"/>
      <c r="M3" s="191"/>
    </row>
    <row r="4" spans="1:15" ht="3.5" customHeight="1" thickBot="1" x14ac:dyDescent="0.2">
      <c r="A4" s="106"/>
      <c r="B4" s="106"/>
      <c r="C4" s="106"/>
      <c r="D4" s="126"/>
      <c r="F4" s="107" t="s">
        <v>338</v>
      </c>
      <c r="J4" s="192"/>
      <c r="K4" s="193"/>
      <c r="L4" s="193"/>
      <c r="M4" s="194"/>
    </row>
    <row r="5" spans="1:15" ht="15" customHeight="1" thickBot="1" x14ac:dyDescent="0.2">
      <c r="A5" s="205" t="s">
        <v>337</v>
      </c>
      <c r="B5" s="206"/>
      <c r="C5" s="206"/>
      <c r="D5" s="206"/>
      <c r="F5" s="108"/>
      <c r="G5" s="108"/>
      <c r="H5" s="108"/>
      <c r="I5" s="108"/>
      <c r="J5" s="192"/>
      <c r="K5" s="193"/>
      <c r="L5" s="193"/>
      <c r="M5" s="194"/>
      <c r="N5" s="108"/>
      <c r="O5" s="108"/>
    </row>
    <row r="6" spans="1:15" s="108" customFormat="1" ht="15" customHeight="1" x14ac:dyDescent="0.15">
      <c r="A6" s="207"/>
      <c r="B6" s="207" t="s">
        <v>332</v>
      </c>
      <c r="C6" s="209" t="s">
        <v>337</v>
      </c>
      <c r="D6" s="203" t="s">
        <v>363</v>
      </c>
      <c r="F6" s="180" t="s">
        <v>380</v>
      </c>
      <c r="G6" s="181"/>
      <c r="H6" s="181"/>
      <c r="I6" s="181"/>
      <c r="J6" s="192"/>
      <c r="K6" s="193"/>
      <c r="L6" s="193"/>
      <c r="M6" s="194"/>
      <c r="N6" s="109"/>
      <c r="O6" s="109"/>
    </row>
    <row r="7" spans="1:15" s="109" customFormat="1" ht="17" thickBot="1" x14ac:dyDescent="0.2">
      <c r="A7" s="208"/>
      <c r="B7" s="208"/>
      <c r="C7" s="210"/>
      <c r="D7" s="204"/>
      <c r="F7" s="179" t="s">
        <v>381</v>
      </c>
      <c r="G7" s="179"/>
      <c r="H7" s="179"/>
      <c r="I7" s="179"/>
      <c r="J7" s="192"/>
      <c r="K7" s="193"/>
      <c r="L7" s="193"/>
      <c r="M7" s="194"/>
      <c r="N7" s="107"/>
      <c r="O7" s="107"/>
    </row>
    <row r="8" spans="1:15" x14ac:dyDescent="0.15">
      <c r="A8" s="198" t="s">
        <v>18</v>
      </c>
      <c r="B8" s="113" t="s">
        <v>35</v>
      </c>
      <c r="C8" s="114">
        <f>'1. Ticket Sales'!$M$14</f>
        <v>10451.700000000001</v>
      </c>
      <c r="D8" s="166"/>
      <c r="F8" s="179" t="s">
        <v>382</v>
      </c>
      <c r="G8" s="179"/>
      <c r="H8" s="179"/>
      <c r="I8" s="179"/>
      <c r="J8" s="192"/>
      <c r="K8" s="193"/>
      <c r="L8" s="193"/>
      <c r="M8" s="194"/>
    </row>
    <row r="9" spans="1:15" ht="15" customHeight="1" x14ac:dyDescent="0.15">
      <c r="A9" s="199"/>
      <c r="B9" s="115" t="s">
        <v>14</v>
      </c>
      <c r="C9" s="114">
        <f>'2. Participation Fees'!B11</f>
        <v>2400</v>
      </c>
      <c r="D9" s="166"/>
      <c r="F9" s="179"/>
      <c r="G9" s="179"/>
      <c r="H9" s="179"/>
      <c r="I9" s="179"/>
      <c r="J9" s="192"/>
      <c r="K9" s="193"/>
      <c r="L9" s="193"/>
      <c r="M9" s="194"/>
    </row>
    <row r="10" spans="1:15" ht="16" x14ac:dyDescent="0.15">
      <c r="A10" s="199"/>
      <c r="B10" s="117" t="s">
        <v>333</v>
      </c>
      <c r="C10" s="114">
        <f>'3. Programme Sales'!B4</f>
        <v>300</v>
      </c>
      <c r="D10" s="167"/>
      <c r="J10" s="192"/>
      <c r="K10" s="193"/>
      <c r="L10" s="193"/>
      <c r="M10" s="194"/>
    </row>
    <row r="11" spans="1:15" ht="16" x14ac:dyDescent="0.15">
      <c r="A11" s="199"/>
      <c r="B11" s="117" t="s">
        <v>334</v>
      </c>
      <c r="C11" s="114">
        <f>'4. Programme Ads'!B4</f>
        <v>0</v>
      </c>
      <c r="D11" s="167"/>
      <c r="J11" s="192"/>
      <c r="K11" s="193"/>
      <c r="L11" s="193"/>
      <c r="M11" s="194"/>
    </row>
    <row r="12" spans="1:15" x14ac:dyDescent="0.15">
      <c r="A12" s="199"/>
      <c r="B12" s="115" t="s">
        <v>4</v>
      </c>
      <c r="C12" s="114">
        <f>'5. Sponsorship'!B4</f>
        <v>0</v>
      </c>
      <c r="D12" s="167"/>
      <c r="J12" s="192"/>
      <c r="K12" s="193"/>
      <c r="L12" s="193"/>
      <c r="M12" s="194"/>
    </row>
    <row r="13" spans="1:15" ht="16" x14ac:dyDescent="0.15">
      <c r="A13" s="199"/>
      <c r="B13" s="117" t="s">
        <v>33</v>
      </c>
      <c r="C13" s="114">
        <f>'6. Fundraising Events'!B4</f>
        <v>400</v>
      </c>
      <c r="D13" s="167"/>
      <c r="J13" s="192"/>
      <c r="K13" s="193"/>
      <c r="L13" s="193"/>
      <c r="M13" s="194"/>
    </row>
    <row r="14" spans="1:15" x14ac:dyDescent="0.15">
      <c r="A14" s="199"/>
      <c r="B14" s="115" t="s">
        <v>44</v>
      </c>
      <c r="C14" s="114">
        <f>'7. Donations'!B4</f>
        <v>50</v>
      </c>
      <c r="D14" s="167"/>
      <c r="J14" s="192"/>
      <c r="K14" s="193"/>
      <c r="L14" s="193"/>
      <c r="M14" s="194"/>
    </row>
    <row r="15" spans="1:15" ht="17" thickBot="1" x14ac:dyDescent="0.2">
      <c r="A15" s="200"/>
      <c r="B15" s="118" t="s">
        <v>335</v>
      </c>
      <c r="C15" s="130">
        <f>SUM(C8:C14)</f>
        <v>13601.7</v>
      </c>
      <c r="D15" s="127"/>
      <c r="J15" s="192"/>
      <c r="K15" s="193"/>
      <c r="L15" s="193"/>
      <c r="M15" s="194"/>
    </row>
    <row r="16" spans="1:15" ht="4.25" customHeight="1" thickBot="1" x14ac:dyDescent="0.2">
      <c r="A16" s="201"/>
      <c r="B16" s="201"/>
      <c r="C16" s="201"/>
      <c r="D16" s="201"/>
      <c r="J16" s="192"/>
      <c r="K16" s="193"/>
      <c r="L16" s="193"/>
      <c r="M16" s="194"/>
    </row>
    <row r="17" spans="1:13" ht="15" customHeight="1" x14ac:dyDescent="0.15">
      <c r="A17" s="198" t="s">
        <v>17</v>
      </c>
      <c r="B17" s="119" t="s">
        <v>0</v>
      </c>
      <c r="C17" s="120">
        <f>'1-3 Venue Rights Scores'!B4</f>
        <v>3160.2</v>
      </c>
      <c r="D17" s="168"/>
      <c r="J17" s="192"/>
      <c r="K17" s="193"/>
      <c r="L17" s="193"/>
      <c r="M17" s="194"/>
    </row>
    <row r="18" spans="1:13" ht="15" customHeight="1" x14ac:dyDescent="0.15">
      <c r="A18" s="199"/>
      <c r="B18" s="121" t="s">
        <v>1</v>
      </c>
      <c r="C18" s="122">
        <f>'1-3 Venue Rights Scores'!B8</f>
        <v>1881.306</v>
      </c>
      <c r="D18" s="167"/>
      <c r="E18" s="110"/>
      <c r="J18" s="192"/>
      <c r="K18" s="193"/>
      <c r="L18" s="193"/>
      <c r="M18" s="194"/>
    </row>
    <row r="19" spans="1:13" ht="15" customHeight="1" x14ac:dyDescent="0.15">
      <c r="A19" s="199"/>
      <c r="B19" s="121" t="s">
        <v>30</v>
      </c>
      <c r="C19" s="122">
        <f>'1-3 Venue Rights Scores'!B12</f>
        <v>550</v>
      </c>
      <c r="D19" s="167"/>
      <c r="E19" s="110"/>
      <c r="J19" s="192"/>
      <c r="K19" s="193"/>
      <c r="L19" s="193"/>
      <c r="M19" s="194"/>
    </row>
    <row r="20" spans="1:13" ht="15" customHeight="1" x14ac:dyDescent="0.15">
      <c r="A20" s="199"/>
      <c r="B20" s="121" t="s">
        <v>3</v>
      </c>
      <c r="C20" s="122">
        <f>'4. Band'!B4</f>
        <v>1000</v>
      </c>
      <c r="D20" s="167"/>
      <c r="J20" s="192"/>
      <c r="K20" s="193"/>
      <c r="L20" s="193"/>
      <c r="M20" s="194"/>
    </row>
    <row r="21" spans="1:13" ht="15" customHeight="1" x14ac:dyDescent="0.15">
      <c r="A21" s="199"/>
      <c r="B21" s="121" t="s">
        <v>15</v>
      </c>
      <c r="C21" s="122">
        <f>'5. - 9. Set Lights etc'!B9</f>
        <v>1000</v>
      </c>
      <c r="D21" s="167"/>
      <c r="J21" s="192"/>
      <c r="K21" s="193"/>
      <c r="L21" s="193"/>
      <c r="M21" s="194"/>
    </row>
    <row r="22" spans="1:13" ht="15" customHeight="1" x14ac:dyDescent="0.15">
      <c r="A22" s="199"/>
      <c r="B22" s="121" t="s">
        <v>5</v>
      </c>
      <c r="C22" s="122">
        <f>'5. - 9. Set Lights etc'!B13</f>
        <v>150</v>
      </c>
      <c r="D22" s="167"/>
      <c r="J22" s="192"/>
      <c r="K22" s="193"/>
      <c r="L22" s="193"/>
      <c r="M22" s="194"/>
    </row>
    <row r="23" spans="1:13" ht="15" customHeight="1" x14ac:dyDescent="0.15">
      <c r="A23" s="199"/>
      <c r="B23" s="121" t="s">
        <v>34</v>
      </c>
      <c r="C23" s="122">
        <f>'5. - 9. Set Lights etc'!B17</f>
        <v>200</v>
      </c>
      <c r="D23" s="167"/>
      <c r="J23" s="192"/>
      <c r="K23" s="193"/>
      <c r="L23" s="193"/>
      <c r="M23" s="194"/>
    </row>
    <row r="24" spans="1:13" ht="15" customHeight="1" x14ac:dyDescent="0.15">
      <c r="A24" s="199"/>
      <c r="B24" s="121" t="s">
        <v>6</v>
      </c>
      <c r="C24" s="122">
        <f>'5. - 9. Set Lights etc'!B23</f>
        <v>1400</v>
      </c>
      <c r="D24" s="167"/>
      <c r="J24" s="192"/>
      <c r="K24" s="193"/>
      <c r="L24" s="193"/>
      <c r="M24" s="194"/>
    </row>
    <row r="25" spans="1:13" ht="15" customHeight="1" thickBot="1" x14ac:dyDescent="0.2">
      <c r="A25" s="199"/>
      <c r="B25" s="121" t="s">
        <v>2</v>
      </c>
      <c r="C25" s="122">
        <f>'5. - 9. Set Lights etc'!B27</f>
        <v>1400</v>
      </c>
      <c r="D25" s="167"/>
      <c r="J25" s="195"/>
      <c r="K25" s="196"/>
      <c r="L25" s="196"/>
      <c r="M25" s="197"/>
    </row>
    <row r="26" spans="1:13" ht="15" customHeight="1" x14ac:dyDescent="0.15">
      <c r="A26" s="199"/>
      <c r="B26" s="121" t="s">
        <v>9</v>
      </c>
      <c r="C26" s="122">
        <f>'10. Transport'!B4</f>
        <v>250</v>
      </c>
      <c r="D26" s="167"/>
    </row>
    <row r="27" spans="1:13" ht="15" customHeight="1" x14ac:dyDescent="0.15">
      <c r="A27" s="199"/>
      <c r="B27" s="121" t="s">
        <v>16</v>
      </c>
      <c r="C27" s="122">
        <f>'11. Marketing'!B4</f>
        <v>560</v>
      </c>
      <c r="D27" s="167"/>
      <c r="F27" s="111"/>
    </row>
    <row r="28" spans="1:13" ht="15" customHeight="1" x14ac:dyDescent="0.15">
      <c r="A28" s="199"/>
      <c r="B28" s="121" t="s">
        <v>8</v>
      </c>
      <c r="C28" s="122">
        <f>'12. Rehearsal Venue'!B4</f>
        <v>1550</v>
      </c>
      <c r="D28" s="167"/>
      <c r="E28" s="110"/>
    </row>
    <row r="29" spans="1:13" ht="15" customHeight="1" x14ac:dyDescent="0.15">
      <c r="A29" s="199"/>
      <c r="B29" s="121" t="s">
        <v>32</v>
      </c>
      <c r="C29" s="122"/>
      <c r="D29" s="167"/>
    </row>
    <row r="30" spans="1:13" ht="17" thickBot="1" x14ac:dyDescent="0.2">
      <c r="A30" s="199"/>
      <c r="B30" s="123" t="s">
        <v>336</v>
      </c>
      <c r="C30" s="130">
        <f>SUM(C17:C29)</f>
        <v>13101.505999999999</v>
      </c>
      <c r="D30" s="128"/>
    </row>
    <row r="31" spans="1:13" ht="3" customHeight="1" x14ac:dyDescent="0.15">
      <c r="A31" s="199"/>
      <c r="B31" s="202"/>
      <c r="C31" s="202"/>
      <c r="D31" s="202"/>
    </row>
    <row r="32" spans="1:13" ht="16" x14ac:dyDescent="0.15">
      <c r="A32" s="199"/>
      <c r="B32" s="121" t="s">
        <v>45</v>
      </c>
      <c r="C32" s="116">
        <v>500</v>
      </c>
      <c r="D32" s="176" t="s">
        <v>435</v>
      </c>
    </row>
    <row r="33" spans="1:15" ht="33" thickBot="1" x14ac:dyDescent="0.2">
      <c r="A33" s="200"/>
      <c r="B33" s="124" t="s">
        <v>339</v>
      </c>
      <c r="C33" s="130">
        <f>SUM(C30,C32)</f>
        <v>13601.505999999999</v>
      </c>
      <c r="D33" s="127"/>
    </row>
    <row r="34" spans="1:15" ht="6.75" customHeight="1" x14ac:dyDescent="0.15">
      <c r="F34" s="134"/>
      <c r="G34" s="108"/>
      <c r="H34" s="108"/>
      <c r="I34" s="108"/>
      <c r="J34" s="108"/>
      <c r="K34" s="108"/>
      <c r="L34" s="108"/>
      <c r="M34" s="108"/>
      <c r="N34" s="108"/>
      <c r="O34" s="108"/>
    </row>
    <row r="35" spans="1:15" s="108" customFormat="1" ht="24.75" customHeight="1" thickBot="1" x14ac:dyDescent="0.2">
      <c r="B35" s="169" t="s">
        <v>340</v>
      </c>
      <c r="C35" s="132">
        <f>C15-C33</f>
        <v>0.19400000000132422</v>
      </c>
      <c r="D35" s="178" t="s">
        <v>444</v>
      </c>
      <c r="E35" s="133"/>
      <c r="F35" s="182" t="s">
        <v>477</v>
      </c>
      <c r="L35" s="107"/>
      <c r="M35" s="107"/>
      <c r="N35" s="107"/>
      <c r="O35" s="107"/>
    </row>
  </sheetData>
  <protectedRanges>
    <protectedRange sqref="C8:D14 C17:D29" name="Totals"/>
  </protectedRanges>
  <mergeCells count="10">
    <mergeCell ref="J3:M25"/>
    <mergeCell ref="A8:A15"/>
    <mergeCell ref="A16:D16"/>
    <mergeCell ref="A17:A33"/>
    <mergeCell ref="B31:D31"/>
    <mergeCell ref="D6:D7"/>
    <mergeCell ref="A5:D5"/>
    <mergeCell ref="A6:A7"/>
    <mergeCell ref="B6:B7"/>
    <mergeCell ref="C6:C7"/>
  </mergeCells>
  <conditionalFormatting sqref="C32:D32 C6:D6 C34:D34 C12:D15 C36:D1048576 D35 C8:D9 C17:D30">
    <cfRule type="cellIs" dxfId="19" priority="11" operator="lessThan">
      <formula>0</formula>
    </cfRule>
  </conditionalFormatting>
  <conditionalFormatting sqref="D33">
    <cfRule type="cellIs" dxfId="18" priority="10" operator="lessThan">
      <formula>0</formula>
    </cfRule>
  </conditionalFormatting>
  <conditionalFormatting sqref="C10:D10">
    <cfRule type="cellIs" dxfId="17" priority="9" operator="lessThan">
      <formula>0</formula>
    </cfRule>
  </conditionalFormatting>
  <conditionalFormatting sqref="C11:D11">
    <cfRule type="cellIs" dxfId="16" priority="8" operator="lessThan">
      <formula>0</formula>
    </cfRule>
  </conditionalFormatting>
  <conditionalFormatting sqref="C35">
    <cfRule type="cellIs" dxfId="15" priority="2" operator="lessThan">
      <formula>0</formula>
    </cfRule>
  </conditionalFormatting>
  <conditionalFormatting sqref="C33">
    <cfRule type="cellIs" dxfId="14" priority="4" operator="lessThan">
      <formula>0</formula>
    </cfRule>
  </conditionalFormatting>
  <pageMargins left="0.7" right="0.7" top="0.75" bottom="0.75" header="0.3" footer="0.3"/>
  <pageSetup paperSize="9" scale="4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G8"/>
  <sheetViews>
    <sheetView workbookViewId="0">
      <selection activeCell="H18" sqref="H18"/>
    </sheetView>
  </sheetViews>
  <sheetFormatPr baseColWidth="10" defaultColWidth="8.83203125" defaultRowHeight="13" x14ac:dyDescent="0.15"/>
  <cols>
    <col min="1" max="1" width="15.5" bestFit="1" customWidth="1"/>
    <col min="2" max="2" width="12.6640625" customWidth="1"/>
    <col min="4" max="4" width="8.83203125" style="5"/>
  </cols>
  <sheetData>
    <row r="1" spans="2:7" x14ac:dyDescent="0.15">
      <c r="B1" s="52"/>
    </row>
    <row r="2" spans="2:7" x14ac:dyDescent="0.15">
      <c r="B2" s="52"/>
    </row>
    <row r="3" spans="2:7" x14ac:dyDescent="0.15">
      <c r="B3" s="52"/>
    </row>
    <row r="6" spans="2:7" x14ac:dyDescent="0.15">
      <c r="G6" s="69"/>
    </row>
    <row r="7" spans="2:7" x14ac:dyDescent="0.15">
      <c r="G7" s="69"/>
    </row>
    <row r="8" spans="2:7" x14ac:dyDescent="0.15">
      <c r="B8" s="69"/>
      <c r="C8" s="69"/>
      <c r="E8" s="69"/>
      <c r="G8" s="6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8" tint="0.59999389629810485"/>
  </sheetPr>
  <dimension ref="A1:O12"/>
  <sheetViews>
    <sheetView workbookViewId="0">
      <selection activeCell="H24" sqref="H24"/>
    </sheetView>
  </sheetViews>
  <sheetFormatPr baseColWidth="10" defaultColWidth="8.6640625" defaultRowHeight="13" x14ac:dyDescent="0.15"/>
  <cols>
    <col min="9" max="9" width="9.6640625" bestFit="1" customWidth="1"/>
    <col min="10" max="10" width="19.6640625" bestFit="1" customWidth="1"/>
    <col min="11" max="11" width="10.33203125" bestFit="1" customWidth="1"/>
    <col min="12" max="14" width="11.33203125" bestFit="1" customWidth="1"/>
    <col min="15" max="15" width="11.5" bestFit="1" customWidth="1"/>
  </cols>
  <sheetData>
    <row r="1" spans="1:15" x14ac:dyDescent="0.15"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  <c r="J1" t="s">
        <v>56</v>
      </c>
      <c r="K1" s="18">
        <v>0.75</v>
      </c>
      <c r="L1" s="19">
        <v>0.8</v>
      </c>
      <c r="M1" s="20">
        <v>0.9</v>
      </c>
      <c r="N1" s="20">
        <v>0.95</v>
      </c>
      <c r="O1" t="s">
        <v>94</v>
      </c>
    </row>
    <row r="2" spans="1:15" x14ac:dyDescent="0.15">
      <c r="A2" t="s">
        <v>40</v>
      </c>
      <c r="B2">
        <v>39</v>
      </c>
      <c r="C2">
        <v>39</v>
      </c>
      <c r="D2">
        <v>39</v>
      </c>
      <c r="E2">
        <v>39</v>
      </c>
      <c r="F2">
        <v>39</v>
      </c>
      <c r="G2">
        <v>39</v>
      </c>
      <c r="H2">
        <f>SUM(B2:G2)</f>
        <v>234</v>
      </c>
      <c r="I2" s="5">
        <v>19</v>
      </c>
      <c r="J2" s="5">
        <f t="shared" ref="J2:J7" si="0">I2*H2</f>
        <v>4446</v>
      </c>
      <c r="K2" s="5">
        <f t="shared" ref="K2:K8" si="1">J2*0.75</f>
        <v>3334.5</v>
      </c>
      <c r="L2" s="5">
        <f>0.8*J2</f>
        <v>3556.8</v>
      </c>
      <c r="M2" s="5">
        <f>0.9*J2</f>
        <v>4001.4</v>
      </c>
      <c r="N2" s="5">
        <f t="shared" ref="N2:N8" si="2">J2*0.95</f>
        <v>4223.7</v>
      </c>
      <c r="O2" s="5">
        <f t="shared" ref="O2:O8" si="3">J2</f>
        <v>4446</v>
      </c>
    </row>
    <row r="3" spans="1:15" x14ac:dyDescent="0.15">
      <c r="A3" t="s">
        <v>41</v>
      </c>
      <c r="B3">
        <v>39</v>
      </c>
      <c r="C3">
        <v>39</v>
      </c>
      <c r="D3">
        <v>39</v>
      </c>
      <c r="E3">
        <v>39</v>
      </c>
      <c r="F3">
        <v>39</v>
      </c>
      <c r="G3">
        <v>39</v>
      </c>
      <c r="H3">
        <f t="shared" ref="H3:H8" si="4">SUM(B3:G3)</f>
        <v>234</v>
      </c>
      <c r="I3" s="5">
        <v>18</v>
      </c>
      <c r="J3" s="5">
        <f t="shared" si="0"/>
        <v>4212</v>
      </c>
      <c r="K3" s="5">
        <f t="shared" si="1"/>
        <v>3159</v>
      </c>
      <c r="L3" s="5">
        <f t="shared" ref="L3:L8" si="5">0.8*J3</f>
        <v>3369.6000000000004</v>
      </c>
      <c r="M3" s="5">
        <f t="shared" ref="M3:M8" si="6">0.9*J3</f>
        <v>3790.8</v>
      </c>
      <c r="N3" s="5">
        <f t="shared" si="2"/>
        <v>4001.3999999999996</v>
      </c>
      <c r="O3" s="5">
        <f t="shared" si="3"/>
        <v>4212</v>
      </c>
    </row>
    <row r="4" spans="1:15" x14ac:dyDescent="0.15">
      <c r="A4" t="s">
        <v>42</v>
      </c>
      <c r="B4">
        <v>32</v>
      </c>
      <c r="C4">
        <v>32</v>
      </c>
      <c r="D4">
        <v>32</v>
      </c>
      <c r="E4">
        <v>32</v>
      </c>
      <c r="F4">
        <v>32</v>
      </c>
      <c r="G4">
        <v>32</v>
      </c>
      <c r="H4">
        <f t="shared" si="4"/>
        <v>192</v>
      </c>
      <c r="I4" s="5">
        <v>16</v>
      </c>
      <c r="J4" s="5">
        <f t="shared" si="0"/>
        <v>3072</v>
      </c>
      <c r="K4" s="5">
        <f t="shared" si="1"/>
        <v>2304</v>
      </c>
      <c r="L4" s="5">
        <f t="shared" si="5"/>
        <v>2457.6000000000004</v>
      </c>
      <c r="M4" s="5">
        <f t="shared" si="6"/>
        <v>2764.8</v>
      </c>
      <c r="N4" s="5">
        <f t="shared" si="2"/>
        <v>2918.3999999999996</v>
      </c>
      <c r="O4" s="5">
        <f t="shared" si="3"/>
        <v>3072</v>
      </c>
    </row>
    <row r="5" spans="1:15" x14ac:dyDescent="0.15">
      <c r="A5" t="s">
        <v>43</v>
      </c>
      <c r="B5">
        <f t="shared" ref="B5:G5" si="7">135-B2-B3-B4-B6-B7</f>
        <v>19</v>
      </c>
      <c r="C5">
        <f t="shared" si="7"/>
        <v>19</v>
      </c>
      <c r="D5">
        <f t="shared" si="7"/>
        <v>19</v>
      </c>
      <c r="E5">
        <f t="shared" si="7"/>
        <v>19</v>
      </c>
      <c r="F5">
        <f t="shared" si="7"/>
        <v>19</v>
      </c>
      <c r="G5">
        <f t="shared" si="7"/>
        <v>19</v>
      </c>
      <c r="H5">
        <f t="shared" si="4"/>
        <v>114</v>
      </c>
      <c r="I5" s="5">
        <v>13</v>
      </c>
      <c r="J5" s="5">
        <f t="shared" si="0"/>
        <v>1482</v>
      </c>
      <c r="K5" s="5">
        <f t="shared" si="1"/>
        <v>1111.5</v>
      </c>
      <c r="L5" s="5">
        <f t="shared" si="5"/>
        <v>1185.6000000000001</v>
      </c>
      <c r="M5" s="5">
        <f t="shared" si="6"/>
        <v>1333.8</v>
      </c>
      <c r="N5" s="5">
        <f t="shared" si="2"/>
        <v>1407.8999999999999</v>
      </c>
      <c r="O5" s="5">
        <f t="shared" si="3"/>
        <v>1482</v>
      </c>
    </row>
    <row r="6" spans="1:15" x14ac:dyDescent="0.15">
      <c r="A6" t="s">
        <v>57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f t="shared" si="4"/>
        <v>12</v>
      </c>
      <c r="I6" s="5">
        <v>0</v>
      </c>
      <c r="J6" s="5">
        <f t="shared" si="0"/>
        <v>0</v>
      </c>
      <c r="K6" s="5">
        <f t="shared" si="1"/>
        <v>0</v>
      </c>
      <c r="L6" s="5">
        <f t="shared" si="5"/>
        <v>0</v>
      </c>
      <c r="M6" s="5">
        <f t="shared" si="6"/>
        <v>0</v>
      </c>
      <c r="N6" s="5">
        <f t="shared" si="2"/>
        <v>0</v>
      </c>
      <c r="O6" s="5">
        <f t="shared" si="3"/>
        <v>0</v>
      </c>
    </row>
    <row r="7" spans="1:15" x14ac:dyDescent="0.15">
      <c r="A7" t="s">
        <v>58</v>
      </c>
      <c r="B7">
        <v>4</v>
      </c>
      <c r="C7">
        <v>4</v>
      </c>
      <c r="D7">
        <v>4</v>
      </c>
      <c r="E7">
        <v>4</v>
      </c>
      <c r="F7">
        <v>4</v>
      </c>
      <c r="G7">
        <v>4</v>
      </c>
      <c r="H7">
        <f t="shared" si="4"/>
        <v>24</v>
      </c>
      <c r="I7" s="5">
        <v>0</v>
      </c>
      <c r="J7" s="5">
        <f t="shared" si="0"/>
        <v>0</v>
      </c>
      <c r="K7" s="5">
        <f t="shared" si="1"/>
        <v>0</v>
      </c>
      <c r="L7" s="5">
        <f t="shared" si="5"/>
        <v>0</v>
      </c>
      <c r="M7" s="5">
        <f t="shared" si="6"/>
        <v>0</v>
      </c>
      <c r="N7" s="5">
        <f t="shared" si="2"/>
        <v>0</v>
      </c>
      <c r="O7" s="5">
        <f t="shared" si="3"/>
        <v>0</v>
      </c>
    </row>
    <row r="8" spans="1:15" x14ac:dyDescent="0.15">
      <c r="A8" t="s">
        <v>7</v>
      </c>
      <c r="B8">
        <f t="shared" ref="B8:G8" si="8">SUM(B2:B7)</f>
        <v>135</v>
      </c>
      <c r="C8">
        <f t="shared" si="8"/>
        <v>135</v>
      </c>
      <c r="D8">
        <f t="shared" si="8"/>
        <v>135</v>
      </c>
      <c r="E8">
        <f t="shared" si="8"/>
        <v>135</v>
      </c>
      <c r="F8">
        <f t="shared" si="8"/>
        <v>135</v>
      </c>
      <c r="G8">
        <f t="shared" si="8"/>
        <v>135</v>
      </c>
      <c r="H8">
        <f t="shared" si="4"/>
        <v>810</v>
      </c>
      <c r="J8" s="5">
        <f>SUM(J2:J7)</f>
        <v>13212</v>
      </c>
      <c r="K8" s="21">
        <f t="shared" si="1"/>
        <v>9909</v>
      </c>
      <c r="L8" s="22">
        <f t="shared" si="5"/>
        <v>10569.6</v>
      </c>
      <c r="M8" s="23">
        <f t="shared" si="6"/>
        <v>11890.800000000001</v>
      </c>
      <c r="N8" s="23">
        <f t="shared" si="2"/>
        <v>12551.4</v>
      </c>
      <c r="O8" s="5">
        <f t="shared" si="3"/>
        <v>13212</v>
      </c>
    </row>
    <row r="9" spans="1:15" x14ac:dyDescent="0.15">
      <c r="L9" s="5">
        <f>L8-K8</f>
        <v>660.60000000000036</v>
      </c>
      <c r="M9" s="5">
        <f>M8-K8</f>
        <v>1981.8000000000011</v>
      </c>
      <c r="N9" s="5">
        <f>N8-K8</f>
        <v>2642.3999999999996</v>
      </c>
      <c r="O9" s="5">
        <f>O8-K8</f>
        <v>3303</v>
      </c>
    </row>
    <row r="11" spans="1:15" x14ac:dyDescent="0.15">
      <c r="J11" s="24" t="s">
        <v>59</v>
      </c>
      <c r="K11" s="5">
        <f>K8*0.15*1.2</f>
        <v>1783.62</v>
      </c>
      <c r="L11" s="22">
        <f>L8*0.15*1.2</f>
        <v>1902.528</v>
      </c>
      <c r="M11" s="5">
        <f>M8*0.15*1.2</f>
        <v>2140.3440000000001</v>
      </c>
      <c r="N11" s="5">
        <f>N8*0.15*1.2</f>
        <v>2259.2519999999995</v>
      </c>
      <c r="O11" s="5">
        <f>O8*0.15*1.2</f>
        <v>2378.16</v>
      </c>
    </row>
    <row r="12" spans="1:15" x14ac:dyDescent="0.15">
      <c r="L12" s="5">
        <f>L11-K11</f>
        <v>118.90800000000013</v>
      </c>
      <c r="M12" s="5">
        <f>M11-K11</f>
        <v>356.72400000000016</v>
      </c>
      <c r="N12" s="5">
        <f>N11-K11</f>
        <v>475.63199999999961</v>
      </c>
      <c r="O12" s="5">
        <f>O11-K11</f>
        <v>594.54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4"/>
  <sheetViews>
    <sheetView workbookViewId="0">
      <selection activeCell="C27" sqref="C27"/>
    </sheetView>
  </sheetViews>
  <sheetFormatPr baseColWidth="10" defaultColWidth="8.83203125" defaultRowHeight="13" x14ac:dyDescent="0.15"/>
  <cols>
    <col min="1" max="1" width="24.33203125" bestFit="1" customWidth="1"/>
    <col min="2" max="2" width="19.33203125" bestFit="1" customWidth="1"/>
    <col min="3" max="6" width="19" customWidth="1"/>
  </cols>
  <sheetData>
    <row r="1" spans="1:6" ht="18" x14ac:dyDescent="0.2">
      <c r="A1" s="11" t="s">
        <v>20</v>
      </c>
    </row>
    <row r="2" spans="1:6" x14ac:dyDescent="0.15">
      <c r="A2" s="4" t="s">
        <v>21</v>
      </c>
      <c r="B2">
        <v>6</v>
      </c>
    </row>
    <row r="3" spans="1:6" x14ac:dyDescent="0.15">
      <c r="A3" s="4" t="s">
        <v>22</v>
      </c>
      <c r="B3">
        <v>0.75</v>
      </c>
    </row>
    <row r="4" spans="1:6" x14ac:dyDescent="0.15">
      <c r="A4" s="4"/>
    </row>
    <row r="5" spans="1:6" x14ac:dyDescent="0.15">
      <c r="A5" s="4"/>
      <c r="B5" s="4" t="s">
        <v>10</v>
      </c>
      <c r="C5" s="4" t="s">
        <v>25</v>
      </c>
      <c r="D5" s="4"/>
      <c r="E5" s="4" t="s">
        <v>26</v>
      </c>
      <c r="F5" s="4" t="s">
        <v>27</v>
      </c>
    </row>
    <row r="6" spans="1:6" x14ac:dyDescent="0.15">
      <c r="A6" s="4"/>
      <c r="B6" s="4"/>
      <c r="C6" s="4" t="s">
        <v>23</v>
      </c>
      <c r="D6" s="4" t="s">
        <v>24</v>
      </c>
      <c r="E6" s="4" t="s">
        <v>24</v>
      </c>
      <c r="F6" s="4" t="s">
        <v>24</v>
      </c>
    </row>
    <row r="7" spans="1:6" x14ac:dyDescent="0.15">
      <c r="A7" s="4" t="s">
        <v>40</v>
      </c>
      <c r="B7" s="3">
        <v>19</v>
      </c>
      <c r="C7">
        <v>39</v>
      </c>
      <c r="D7">
        <f>C7*B$2</f>
        <v>234</v>
      </c>
      <c r="E7">
        <f>D7*B$3</f>
        <v>175.5</v>
      </c>
      <c r="F7" s="3">
        <f>E7*B7</f>
        <v>3334.5</v>
      </c>
    </row>
    <row r="8" spans="1:6" x14ac:dyDescent="0.15">
      <c r="A8" s="4" t="s">
        <v>41</v>
      </c>
      <c r="B8" s="3">
        <v>18</v>
      </c>
      <c r="C8">
        <v>39</v>
      </c>
      <c r="D8">
        <f>C8*B$2</f>
        <v>234</v>
      </c>
      <c r="E8">
        <f>D8*B$3</f>
        <v>175.5</v>
      </c>
      <c r="F8" s="3">
        <f>E8*B8</f>
        <v>3159</v>
      </c>
    </row>
    <row r="9" spans="1:6" x14ac:dyDescent="0.15">
      <c r="A9" s="4" t="s">
        <v>42</v>
      </c>
      <c r="B9" s="3">
        <v>16</v>
      </c>
      <c r="C9">
        <v>33</v>
      </c>
      <c r="D9">
        <f>C9*B$2</f>
        <v>198</v>
      </c>
      <c r="E9">
        <f>D9*B$3</f>
        <v>148.5</v>
      </c>
      <c r="F9" s="3">
        <f>E9*B9</f>
        <v>2376</v>
      </c>
    </row>
    <row r="10" spans="1:6" x14ac:dyDescent="0.15">
      <c r="A10" s="4" t="s">
        <v>43</v>
      </c>
      <c r="B10" s="3">
        <v>13</v>
      </c>
      <c r="C10">
        <v>16</v>
      </c>
      <c r="D10">
        <f>C10*B$2</f>
        <v>96</v>
      </c>
      <c r="E10">
        <f>D10*B$3</f>
        <v>72</v>
      </c>
      <c r="F10" s="3">
        <f>E10*B10</f>
        <v>936</v>
      </c>
    </row>
    <row r="11" spans="1:6" ht="14" thickBot="1" x14ac:dyDescent="0.2">
      <c r="A11" s="4" t="s">
        <v>7</v>
      </c>
      <c r="C11" s="2">
        <f>SUM(C7:C10)</f>
        <v>127</v>
      </c>
      <c r="D11" s="2">
        <f>SUM(D7:D10)</f>
        <v>762</v>
      </c>
      <c r="E11" s="2">
        <f>SUM(E7:E10)</f>
        <v>571.5</v>
      </c>
      <c r="F11" s="9">
        <f>SUM(F7:F10)</f>
        <v>9805.5</v>
      </c>
    </row>
    <row r="12" spans="1:6" ht="14" thickTop="1" x14ac:dyDescent="0.15"/>
    <row r="14" spans="1:6" ht="18" x14ac:dyDescent="0.2">
      <c r="A14" s="11" t="s">
        <v>19</v>
      </c>
    </row>
    <row r="16" spans="1:6" x14ac:dyDescent="0.15">
      <c r="B16" s="4" t="s">
        <v>10</v>
      </c>
      <c r="C16" s="6" t="s">
        <v>29</v>
      </c>
      <c r="D16" s="4" t="s">
        <v>28</v>
      </c>
      <c r="E16" s="4" t="s">
        <v>26</v>
      </c>
      <c r="F16" s="4" t="s">
        <v>27</v>
      </c>
    </row>
    <row r="17" spans="1:6" ht="14" thickBot="1" x14ac:dyDescent="0.2">
      <c r="A17" s="4" t="s">
        <v>7</v>
      </c>
      <c r="B17" s="5">
        <v>2.5</v>
      </c>
      <c r="C17" s="7">
        <v>4.5</v>
      </c>
      <c r="D17" s="8">
        <f>1/C17</f>
        <v>0.22222222222222221</v>
      </c>
      <c r="E17">
        <f>E11</f>
        <v>571.5</v>
      </c>
      <c r="F17" s="10">
        <f>E17*D17*B17</f>
        <v>317.5</v>
      </c>
    </row>
    <row r="18" spans="1:6" ht="14" thickTop="1" x14ac:dyDescent="0.15"/>
    <row r="20" spans="1:6" ht="18" x14ac:dyDescent="0.2">
      <c r="A20" s="11" t="s">
        <v>36</v>
      </c>
    </row>
    <row r="22" spans="1:6" x14ac:dyDescent="0.15">
      <c r="B22" s="4" t="s">
        <v>38</v>
      </c>
      <c r="C22" s="4" t="s">
        <v>37</v>
      </c>
    </row>
    <row r="23" spans="1:6" ht="14" thickBot="1" x14ac:dyDescent="0.2">
      <c r="A23" s="4" t="s">
        <v>7</v>
      </c>
      <c r="B23" s="3">
        <v>70</v>
      </c>
      <c r="C23">
        <v>28</v>
      </c>
      <c r="D23" s="15">
        <f>B23*C23</f>
        <v>1960</v>
      </c>
    </row>
    <row r="24" spans="1:6" ht="14" thickTop="1" x14ac:dyDescent="0.15"/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8" tint="0.59999389629810485"/>
  </sheetPr>
  <dimension ref="A1:R41"/>
  <sheetViews>
    <sheetView showGridLines="0" workbookViewId="0">
      <selection activeCell="I19" sqref="I19"/>
    </sheetView>
  </sheetViews>
  <sheetFormatPr baseColWidth="10" defaultColWidth="8.6640625" defaultRowHeight="15" outlineLevelCol="1" x14ac:dyDescent="0.2"/>
  <cols>
    <col min="1" max="1" width="8.6640625" style="25"/>
    <col min="2" max="2" width="11.5" style="25" customWidth="1"/>
    <col min="3" max="3" width="12.1640625" style="25" customWidth="1"/>
    <col min="4" max="4" width="9.1640625" style="25" customWidth="1" outlineLevel="1"/>
    <col min="5" max="5" width="12.6640625" style="25" customWidth="1" outlineLevel="1"/>
    <col min="6" max="7" width="8.6640625" style="25" customWidth="1" outlineLevel="1"/>
    <col min="8" max="8" width="16.6640625" style="25" bestFit="1" customWidth="1"/>
    <col min="9" max="17" width="8.6640625" style="25"/>
    <col min="18" max="18" width="22.5" style="25" customWidth="1"/>
    <col min="19" max="16384" width="8.6640625" style="25"/>
  </cols>
  <sheetData>
    <row r="1" spans="1:10" x14ac:dyDescent="0.2">
      <c r="D1" s="26">
        <f>SUBTOTAL(9,D3:D41)</f>
        <v>138</v>
      </c>
      <c r="E1" s="27">
        <f>SUBTOTAL(9,E3:E41)</f>
        <v>4140</v>
      </c>
    </row>
    <row r="2" spans="1:10" s="29" customFormat="1" ht="16" x14ac:dyDescent="0.15">
      <c r="A2" s="28" t="s">
        <v>61</v>
      </c>
      <c r="B2" s="28" t="s">
        <v>62</v>
      </c>
      <c r="C2" s="28" t="s">
        <v>63</v>
      </c>
      <c r="D2" s="28" t="s">
        <v>64</v>
      </c>
      <c r="E2" s="57" t="s">
        <v>102</v>
      </c>
      <c r="F2" s="28" t="s">
        <v>65</v>
      </c>
      <c r="G2" s="28" t="s">
        <v>66</v>
      </c>
      <c r="H2" s="28" t="s">
        <v>67</v>
      </c>
    </row>
    <row r="3" spans="1:10" x14ac:dyDescent="0.2">
      <c r="A3" s="25" t="s">
        <v>68</v>
      </c>
      <c r="B3" s="25" t="s">
        <v>69</v>
      </c>
      <c r="C3" s="30">
        <v>42698</v>
      </c>
      <c r="D3" s="31">
        <f t="shared" ref="D3:D41" si="0">G3-F3</f>
        <v>3</v>
      </c>
      <c r="E3" s="32">
        <f>25*D3*1.2</f>
        <v>90</v>
      </c>
      <c r="F3" s="33">
        <v>19</v>
      </c>
      <c r="G3" s="33">
        <v>22</v>
      </c>
      <c r="H3" s="34" t="s">
        <v>70</v>
      </c>
    </row>
    <row r="4" spans="1:10" x14ac:dyDescent="0.2">
      <c r="A4" s="25" t="s">
        <v>68</v>
      </c>
      <c r="B4" s="25" t="s">
        <v>71</v>
      </c>
      <c r="C4" s="30">
        <v>42699</v>
      </c>
      <c r="D4" s="31">
        <f t="shared" si="0"/>
        <v>3</v>
      </c>
      <c r="E4" s="32">
        <f t="shared" ref="E4:E41" si="1">25*D4*1.2</f>
        <v>90</v>
      </c>
      <c r="F4" s="33">
        <v>19</v>
      </c>
      <c r="G4" s="33">
        <v>22</v>
      </c>
      <c r="H4" s="34" t="s">
        <v>70</v>
      </c>
    </row>
    <row r="5" spans="1:10" x14ac:dyDescent="0.2">
      <c r="A5" s="25" t="s">
        <v>68</v>
      </c>
      <c r="B5" s="25" t="s">
        <v>72</v>
      </c>
      <c r="C5" s="30">
        <v>42700</v>
      </c>
      <c r="D5" s="31">
        <f t="shared" si="0"/>
        <v>7</v>
      </c>
      <c r="E5" s="32">
        <f t="shared" si="1"/>
        <v>210</v>
      </c>
      <c r="F5" s="35">
        <v>10</v>
      </c>
      <c r="G5" s="33">
        <v>17</v>
      </c>
      <c r="H5" s="34" t="s">
        <v>70</v>
      </c>
    </row>
    <row r="6" spans="1:10" x14ac:dyDescent="0.2">
      <c r="A6" s="25" t="s">
        <v>68</v>
      </c>
      <c r="B6" s="25" t="s">
        <v>69</v>
      </c>
      <c r="C6" s="30">
        <v>42712</v>
      </c>
      <c r="D6" s="31">
        <f t="shared" si="0"/>
        <v>4</v>
      </c>
      <c r="E6" s="32">
        <f t="shared" si="1"/>
        <v>120</v>
      </c>
      <c r="F6" s="33">
        <v>18</v>
      </c>
      <c r="G6" s="33">
        <v>22</v>
      </c>
      <c r="H6" s="34" t="s">
        <v>73</v>
      </c>
    </row>
    <row r="7" spans="1:10" x14ac:dyDescent="0.2">
      <c r="A7" s="25" t="s">
        <v>68</v>
      </c>
      <c r="B7" s="25" t="s">
        <v>72</v>
      </c>
      <c r="C7" s="30">
        <v>42714</v>
      </c>
      <c r="D7" s="31">
        <f t="shared" si="0"/>
        <v>6</v>
      </c>
      <c r="E7" s="32">
        <f t="shared" si="1"/>
        <v>180</v>
      </c>
      <c r="F7" s="33">
        <v>11</v>
      </c>
      <c r="G7" s="33">
        <v>17</v>
      </c>
      <c r="H7" s="34" t="s">
        <v>73</v>
      </c>
      <c r="J7" s="25" t="s">
        <v>74</v>
      </c>
    </row>
    <row r="8" spans="1:10" x14ac:dyDescent="0.2">
      <c r="A8" s="25" t="s">
        <v>68</v>
      </c>
      <c r="B8" s="25" t="s">
        <v>72</v>
      </c>
      <c r="C8" s="30">
        <f t="shared" ref="C8:C34" si="2">C11-7</f>
        <v>42742</v>
      </c>
      <c r="D8" s="31">
        <f t="shared" si="0"/>
        <v>5</v>
      </c>
      <c r="E8" s="32">
        <f t="shared" si="1"/>
        <v>150</v>
      </c>
      <c r="F8" s="33">
        <v>11</v>
      </c>
      <c r="G8" s="33">
        <v>16</v>
      </c>
      <c r="H8" s="36" t="s">
        <v>75</v>
      </c>
    </row>
    <row r="9" spans="1:10" x14ac:dyDescent="0.2">
      <c r="A9" s="25" t="s">
        <v>68</v>
      </c>
      <c r="B9" s="25" t="s">
        <v>76</v>
      </c>
      <c r="C9" s="30">
        <f t="shared" si="2"/>
        <v>42745</v>
      </c>
      <c r="D9" s="31">
        <f t="shared" si="0"/>
        <v>2</v>
      </c>
      <c r="E9" s="32">
        <f t="shared" si="1"/>
        <v>60</v>
      </c>
      <c r="F9" s="33">
        <v>19</v>
      </c>
      <c r="G9" s="33">
        <v>21</v>
      </c>
    </row>
    <row r="10" spans="1:10" x14ac:dyDescent="0.2">
      <c r="A10" s="25" t="s">
        <v>68</v>
      </c>
      <c r="B10" s="25" t="s">
        <v>69</v>
      </c>
      <c r="C10" s="30">
        <f t="shared" si="2"/>
        <v>42747</v>
      </c>
      <c r="D10" s="31">
        <f t="shared" si="0"/>
        <v>2</v>
      </c>
      <c r="E10" s="32">
        <f t="shared" si="1"/>
        <v>60</v>
      </c>
      <c r="F10" s="33">
        <v>19</v>
      </c>
      <c r="G10" s="33">
        <v>21</v>
      </c>
    </row>
    <row r="11" spans="1:10" x14ac:dyDescent="0.2">
      <c r="A11" s="25" t="s">
        <v>68</v>
      </c>
      <c r="B11" s="25" t="s">
        <v>72</v>
      </c>
      <c r="C11" s="30">
        <f t="shared" si="2"/>
        <v>42749</v>
      </c>
      <c r="D11" s="31">
        <f t="shared" si="0"/>
        <v>5</v>
      </c>
      <c r="E11" s="32">
        <f t="shared" si="1"/>
        <v>150</v>
      </c>
      <c r="F11" s="33">
        <v>11</v>
      </c>
      <c r="G11" s="33">
        <v>16</v>
      </c>
    </row>
    <row r="12" spans="1:10" x14ac:dyDescent="0.2">
      <c r="A12" s="25" t="s">
        <v>68</v>
      </c>
      <c r="B12" s="25" t="s">
        <v>76</v>
      </c>
      <c r="C12" s="30">
        <f t="shared" si="2"/>
        <v>42752</v>
      </c>
      <c r="D12" s="31">
        <f t="shared" si="0"/>
        <v>2</v>
      </c>
      <c r="E12" s="32">
        <f t="shared" si="1"/>
        <v>60</v>
      </c>
      <c r="F12" s="33">
        <v>19</v>
      </c>
      <c r="G12" s="33">
        <v>21</v>
      </c>
    </row>
    <row r="13" spans="1:10" x14ac:dyDescent="0.2">
      <c r="A13" s="25" t="s">
        <v>68</v>
      </c>
      <c r="B13" s="25" t="s">
        <v>69</v>
      </c>
      <c r="C13" s="30">
        <f t="shared" si="2"/>
        <v>42754</v>
      </c>
      <c r="D13" s="31">
        <f t="shared" si="0"/>
        <v>2</v>
      </c>
      <c r="E13" s="32">
        <f t="shared" si="1"/>
        <v>60</v>
      </c>
      <c r="F13" s="33">
        <v>19</v>
      </c>
      <c r="G13" s="33">
        <v>21</v>
      </c>
    </row>
    <row r="14" spans="1:10" x14ac:dyDescent="0.2">
      <c r="A14" s="25" t="s">
        <v>68</v>
      </c>
      <c r="B14" s="25" t="s">
        <v>72</v>
      </c>
      <c r="C14" s="30">
        <f t="shared" si="2"/>
        <v>42756</v>
      </c>
      <c r="D14" s="31">
        <f t="shared" si="0"/>
        <v>5</v>
      </c>
      <c r="E14" s="32">
        <f t="shared" si="1"/>
        <v>150</v>
      </c>
      <c r="F14" s="33">
        <v>11</v>
      </c>
      <c r="G14" s="33">
        <v>16</v>
      </c>
    </row>
    <row r="15" spans="1:10" x14ac:dyDescent="0.2">
      <c r="A15" s="25" t="s">
        <v>68</v>
      </c>
      <c r="B15" s="25" t="s">
        <v>76</v>
      </c>
      <c r="C15" s="30">
        <f t="shared" si="2"/>
        <v>42759</v>
      </c>
      <c r="D15" s="31">
        <f t="shared" si="0"/>
        <v>2</v>
      </c>
      <c r="E15" s="32">
        <f t="shared" si="1"/>
        <v>60</v>
      </c>
      <c r="F15" s="33">
        <v>19</v>
      </c>
      <c r="G15" s="33">
        <v>21</v>
      </c>
    </row>
    <row r="16" spans="1:10" ht="16" thickBot="1" x14ac:dyDescent="0.25">
      <c r="A16" s="25" t="s">
        <v>68</v>
      </c>
      <c r="B16" s="25" t="s">
        <v>69</v>
      </c>
      <c r="C16" s="30">
        <f t="shared" si="2"/>
        <v>42761</v>
      </c>
      <c r="D16" s="31">
        <f t="shared" si="0"/>
        <v>2</v>
      </c>
      <c r="E16" s="32">
        <f t="shared" si="1"/>
        <v>60</v>
      </c>
      <c r="F16" s="33">
        <v>19</v>
      </c>
      <c r="G16" s="33">
        <v>21</v>
      </c>
    </row>
    <row r="17" spans="1:18" x14ac:dyDescent="0.2">
      <c r="A17" s="25" t="s">
        <v>68</v>
      </c>
      <c r="B17" s="25" t="s">
        <v>72</v>
      </c>
      <c r="C17" s="30">
        <f t="shared" si="2"/>
        <v>42763</v>
      </c>
      <c r="D17" s="31">
        <f t="shared" si="0"/>
        <v>5</v>
      </c>
      <c r="E17" s="32">
        <f t="shared" si="1"/>
        <v>150</v>
      </c>
      <c r="F17" s="33">
        <v>11</v>
      </c>
      <c r="G17" s="33">
        <v>16</v>
      </c>
      <c r="K17" s="37"/>
      <c r="L17" s="38"/>
      <c r="M17" s="38"/>
      <c r="N17" s="38"/>
      <c r="O17" s="38"/>
      <c r="P17" s="38"/>
      <c r="Q17" s="38"/>
      <c r="R17" s="39"/>
    </row>
    <row r="18" spans="1:18" x14ac:dyDescent="0.2">
      <c r="A18" s="25" t="s">
        <v>68</v>
      </c>
      <c r="B18" s="25" t="s">
        <v>76</v>
      </c>
      <c r="C18" s="30">
        <f t="shared" si="2"/>
        <v>42766</v>
      </c>
      <c r="D18" s="31">
        <f t="shared" si="0"/>
        <v>2</v>
      </c>
      <c r="E18" s="32">
        <f t="shared" si="1"/>
        <v>60</v>
      </c>
      <c r="F18" s="33">
        <v>19</v>
      </c>
      <c r="G18" s="33">
        <v>21</v>
      </c>
      <c r="K18" s="40"/>
      <c r="L18" s="41" t="s">
        <v>77</v>
      </c>
      <c r="M18" s="41"/>
      <c r="N18" s="41"/>
      <c r="O18" s="41"/>
      <c r="P18" s="41"/>
      <c r="Q18" s="41"/>
      <c r="R18" s="42"/>
    </row>
    <row r="19" spans="1:18" x14ac:dyDescent="0.2">
      <c r="A19" s="25" t="s">
        <v>68</v>
      </c>
      <c r="B19" s="25" t="s">
        <v>69</v>
      </c>
      <c r="C19" s="30">
        <f t="shared" si="2"/>
        <v>42768</v>
      </c>
      <c r="D19" s="31">
        <f t="shared" si="0"/>
        <v>2</v>
      </c>
      <c r="E19" s="32">
        <f t="shared" si="1"/>
        <v>60</v>
      </c>
      <c r="F19" s="33">
        <v>19</v>
      </c>
      <c r="G19" s="33">
        <v>21</v>
      </c>
      <c r="K19" s="40"/>
      <c r="L19" s="41" t="s">
        <v>78</v>
      </c>
      <c r="M19" s="41"/>
      <c r="N19" s="41"/>
      <c r="O19" s="41"/>
      <c r="P19" s="41"/>
      <c r="Q19" s="41"/>
      <c r="R19" s="42"/>
    </row>
    <row r="20" spans="1:18" x14ac:dyDescent="0.2">
      <c r="A20" s="25" t="s">
        <v>68</v>
      </c>
      <c r="B20" s="25" t="s">
        <v>72</v>
      </c>
      <c r="C20" s="30">
        <f t="shared" si="2"/>
        <v>42770</v>
      </c>
      <c r="D20" s="31">
        <f t="shared" si="0"/>
        <v>5</v>
      </c>
      <c r="E20" s="32">
        <f t="shared" si="1"/>
        <v>150</v>
      </c>
      <c r="F20" s="33">
        <v>11</v>
      </c>
      <c r="G20" s="33">
        <v>16</v>
      </c>
      <c r="K20" s="40"/>
      <c r="L20" s="41" t="s">
        <v>79</v>
      </c>
      <c r="M20" s="41"/>
      <c r="N20" s="41"/>
      <c r="O20" s="41"/>
      <c r="P20" s="41"/>
      <c r="Q20" s="41"/>
      <c r="R20" s="42"/>
    </row>
    <row r="21" spans="1:18" x14ac:dyDescent="0.2">
      <c r="A21" s="25" t="s">
        <v>68</v>
      </c>
      <c r="B21" s="25" t="s">
        <v>76</v>
      </c>
      <c r="C21" s="30">
        <f t="shared" si="2"/>
        <v>42773</v>
      </c>
      <c r="D21" s="31">
        <f t="shared" si="0"/>
        <v>2</v>
      </c>
      <c r="E21" s="32">
        <f t="shared" si="1"/>
        <v>60</v>
      </c>
      <c r="F21" s="33">
        <v>19</v>
      </c>
      <c r="G21" s="33">
        <v>21</v>
      </c>
      <c r="K21" s="40"/>
      <c r="L21" s="41"/>
      <c r="M21" s="41"/>
      <c r="N21" s="41"/>
      <c r="O21" s="41"/>
      <c r="P21" s="41"/>
      <c r="Q21" s="41"/>
      <c r="R21" s="42"/>
    </row>
    <row r="22" spans="1:18" x14ac:dyDescent="0.2">
      <c r="A22" s="25" t="s">
        <v>68</v>
      </c>
      <c r="B22" s="25" t="s">
        <v>69</v>
      </c>
      <c r="C22" s="30">
        <f t="shared" si="2"/>
        <v>42775</v>
      </c>
      <c r="D22" s="31">
        <f t="shared" si="0"/>
        <v>2</v>
      </c>
      <c r="E22" s="32">
        <f t="shared" si="1"/>
        <v>60</v>
      </c>
      <c r="F22" s="33">
        <v>19</v>
      </c>
      <c r="G22" s="33">
        <v>21</v>
      </c>
      <c r="K22" s="40"/>
      <c r="L22" s="41"/>
      <c r="M22" s="41"/>
      <c r="N22" s="41"/>
      <c r="O22" s="41"/>
      <c r="P22" s="41"/>
      <c r="Q22" s="41"/>
      <c r="R22" s="42"/>
    </row>
    <row r="23" spans="1:18" x14ac:dyDescent="0.2">
      <c r="A23" s="25" t="s">
        <v>68</v>
      </c>
      <c r="B23" s="25" t="s">
        <v>72</v>
      </c>
      <c r="C23" s="30">
        <f t="shared" si="2"/>
        <v>42777</v>
      </c>
      <c r="D23" s="31">
        <f t="shared" si="0"/>
        <v>5</v>
      </c>
      <c r="E23" s="32">
        <f t="shared" si="1"/>
        <v>150</v>
      </c>
      <c r="F23" s="33">
        <v>11</v>
      </c>
      <c r="G23" s="33">
        <v>16</v>
      </c>
      <c r="K23" s="40"/>
      <c r="L23" s="41"/>
      <c r="M23" s="41"/>
      <c r="N23" s="41"/>
      <c r="O23" s="41"/>
      <c r="P23" s="41"/>
      <c r="Q23" s="41"/>
      <c r="R23" s="42"/>
    </row>
    <row r="24" spans="1:18" ht="16" thickBot="1" x14ac:dyDescent="0.25">
      <c r="A24" s="25" t="s">
        <v>68</v>
      </c>
      <c r="B24" s="25" t="s">
        <v>76</v>
      </c>
      <c r="C24" s="30">
        <f t="shared" si="2"/>
        <v>42780</v>
      </c>
      <c r="D24" s="31">
        <f t="shared" si="0"/>
        <v>2</v>
      </c>
      <c r="E24" s="32">
        <f t="shared" si="1"/>
        <v>60</v>
      </c>
      <c r="F24" s="33">
        <v>19</v>
      </c>
      <c r="G24" s="33">
        <v>21</v>
      </c>
      <c r="K24" s="43"/>
      <c r="L24" s="44"/>
      <c r="M24" s="44"/>
      <c r="N24" s="44"/>
      <c r="O24" s="44"/>
      <c r="P24" s="44"/>
      <c r="Q24" s="44"/>
      <c r="R24" s="45"/>
    </row>
    <row r="25" spans="1:18" x14ac:dyDescent="0.2">
      <c r="A25" s="25" t="s">
        <v>68</v>
      </c>
      <c r="B25" s="25" t="s">
        <v>69</v>
      </c>
      <c r="C25" s="30">
        <f t="shared" si="2"/>
        <v>42782</v>
      </c>
      <c r="D25" s="31">
        <f t="shared" si="0"/>
        <v>2</v>
      </c>
      <c r="E25" s="32">
        <f t="shared" si="1"/>
        <v>60</v>
      </c>
      <c r="F25" s="33">
        <v>19</v>
      </c>
      <c r="G25" s="33">
        <v>21</v>
      </c>
    </row>
    <row r="26" spans="1:18" x14ac:dyDescent="0.2">
      <c r="A26" s="25" t="s">
        <v>68</v>
      </c>
      <c r="B26" s="25" t="s">
        <v>72</v>
      </c>
      <c r="C26" s="30">
        <f t="shared" si="2"/>
        <v>42784</v>
      </c>
      <c r="D26" s="31">
        <f t="shared" si="0"/>
        <v>5</v>
      </c>
      <c r="E26" s="32">
        <f t="shared" si="1"/>
        <v>150</v>
      </c>
      <c r="F26" s="33">
        <v>11</v>
      </c>
      <c r="G26" s="33">
        <v>16</v>
      </c>
    </row>
    <row r="27" spans="1:18" x14ac:dyDescent="0.2">
      <c r="A27" s="25" t="s">
        <v>68</v>
      </c>
      <c r="B27" s="25" t="s">
        <v>76</v>
      </c>
      <c r="C27" s="30">
        <f t="shared" si="2"/>
        <v>42787</v>
      </c>
      <c r="D27" s="31">
        <f t="shared" si="0"/>
        <v>2</v>
      </c>
      <c r="E27" s="32">
        <f t="shared" si="1"/>
        <v>60</v>
      </c>
      <c r="F27" s="33">
        <v>19</v>
      </c>
      <c r="G27" s="33">
        <v>21</v>
      </c>
    </row>
    <row r="28" spans="1:18" x14ac:dyDescent="0.2">
      <c r="A28" s="25" t="s">
        <v>68</v>
      </c>
      <c r="B28" s="25" t="s">
        <v>69</v>
      </c>
      <c r="C28" s="30">
        <f t="shared" si="2"/>
        <v>42789</v>
      </c>
      <c r="D28" s="31">
        <f t="shared" si="0"/>
        <v>2</v>
      </c>
      <c r="E28" s="32">
        <f t="shared" si="1"/>
        <v>60</v>
      </c>
      <c r="F28" s="33">
        <v>19</v>
      </c>
      <c r="G28" s="33">
        <v>21</v>
      </c>
    </row>
    <row r="29" spans="1:18" x14ac:dyDescent="0.2">
      <c r="A29" s="25" t="s">
        <v>68</v>
      </c>
      <c r="B29" s="25" t="s">
        <v>72</v>
      </c>
      <c r="C29" s="30">
        <f t="shared" si="2"/>
        <v>42791</v>
      </c>
      <c r="D29" s="31">
        <f t="shared" si="0"/>
        <v>5</v>
      </c>
      <c r="E29" s="32">
        <f t="shared" si="1"/>
        <v>150</v>
      </c>
      <c r="F29" s="33">
        <v>11</v>
      </c>
      <c r="G29" s="33">
        <v>16</v>
      </c>
    </row>
    <row r="30" spans="1:18" x14ac:dyDescent="0.2">
      <c r="A30" s="25" t="s">
        <v>68</v>
      </c>
      <c r="B30" s="25" t="s">
        <v>76</v>
      </c>
      <c r="C30" s="30">
        <f t="shared" si="2"/>
        <v>42794</v>
      </c>
      <c r="D30" s="31">
        <f t="shared" si="0"/>
        <v>2</v>
      </c>
      <c r="E30" s="32">
        <f t="shared" si="1"/>
        <v>60</v>
      </c>
      <c r="F30" s="33">
        <v>19</v>
      </c>
      <c r="G30" s="33">
        <v>21</v>
      </c>
    </row>
    <row r="31" spans="1:18" x14ac:dyDescent="0.2">
      <c r="A31" s="25" t="s">
        <v>68</v>
      </c>
      <c r="B31" s="25" t="s">
        <v>69</v>
      </c>
      <c r="C31" s="30">
        <f t="shared" si="2"/>
        <v>42796</v>
      </c>
      <c r="D31" s="31">
        <f t="shared" si="0"/>
        <v>2</v>
      </c>
      <c r="E31" s="32">
        <f t="shared" si="1"/>
        <v>60</v>
      </c>
      <c r="F31" s="33">
        <v>19</v>
      </c>
      <c r="G31" s="33">
        <v>21</v>
      </c>
    </row>
    <row r="32" spans="1:18" x14ac:dyDescent="0.2">
      <c r="A32" s="25" t="s">
        <v>68</v>
      </c>
      <c r="B32" s="25" t="s">
        <v>72</v>
      </c>
      <c r="C32" s="30">
        <f t="shared" si="2"/>
        <v>42798</v>
      </c>
      <c r="D32" s="31">
        <f t="shared" si="0"/>
        <v>5</v>
      </c>
      <c r="E32" s="32">
        <f t="shared" si="1"/>
        <v>150</v>
      </c>
      <c r="F32" s="33">
        <v>11</v>
      </c>
      <c r="G32" s="33">
        <v>16</v>
      </c>
    </row>
    <row r="33" spans="1:7" x14ac:dyDescent="0.2">
      <c r="A33" s="25" t="s">
        <v>68</v>
      </c>
      <c r="B33" s="25" t="s">
        <v>76</v>
      </c>
      <c r="C33" s="30">
        <f t="shared" si="2"/>
        <v>42801</v>
      </c>
      <c r="D33" s="31">
        <f t="shared" si="0"/>
        <v>2</v>
      </c>
      <c r="E33" s="32">
        <f t="shared" si="1"/>
        <v>60</v>
      </c>
      <c r="F33" s="33">
        <v>19</v>
      </c>
      <c r="G33" s="33">
        <v>21</v>
      </c>
    </row>
    <row r="34" spans="1:7" x14ac:dyDescent="0.2">
      <c r="A34" s="25" t="s">
        <v>68</v>
      </c>
      <c r="B34" s="25" t="s">
        <v>69</v>
      </c>
      <c r="C34" s="30">
        <f t="shared" si="2"/>
        <v>42803</v>
      </c>
      <c r="D34" s="31">
        <f t="shared" si="0"/>
        <v>2</v>
      </c>
      <c r="E34" s="32">
        <f t="shared" si="1"/>
        <v>60</v>
      </c>
      <c r="F34" s="33">
        <v>19</v>
      </c>
      <c r="G34" s="33">
        <v>21</v>
      </c>
    </row>
    <row r="35" spans="1:7" x14ac:dyDescent="0.2">
      <c r="A35" s="25" t="s">
        <v>68</v>
      </c>
      <c r="B35" s="25" t="s">
        <v>72</v>
      </c>
      <c r="C35" s="30">
        <v>42805</v>
      </c>
      <c r="D35" s="31">
        <f t="shared" si="0"/>
        <v>6</v>
      </c>
      <c r="E35" s="32">
        <f t="shared" si="1"/>
        <v>180</v>
      </c>
      <c r="F35" s="33">
        <v>11</v>
      </c>
      <c r="G35" s="33">
        <v>17</v>
      </c>
    </row>
    <row r="36" spans="1:7" x14ac:dyDescent="0.2">
      <c r="A36" s="25" t="s">
        <v>68</v>
      </c>
      <c r="B36" s="25" t="s">
        <v>76</v>
      </c>
      <c r="C36" s="30">
        <v>42808</v>
      </c>
      <c r="D36" s="31">
        <f t="shared" si="0"/>
        <v>3</v>
      </c>
      <c r="E36" s="32">
        <f t="shared" si="1"/>
        <v>90</v>
      </c>
      <c r="F36" s="33">
        <v>19</v>
      </c>
      <c r="G36" s="33">
        <v>22</v>
      </c>
    </row>
    <row r="37" spans="1:7" x14ac:dyDescent="0.2">
      <c r="A37" s="25" t="s">
        <v>68</v>
      </c>
      <c r="B37" s="25" t="s">
        <v>69</v>
      </c>
      <c r="C37" s="30">
        <v>42810</v>
      </c>
      <c r="D37" s="31">
        <f t="shared" si="0"/>
        <v>3</v>
      </c>
      <c r="E37" s="32">
        <f t="shared" si="1"/>
        <v>90</v>
      </c>
      <c r="F37" s="33">
        <v>19</v>
      </c>
      <c r="G37" s="33">
        <v>22</v>
      </c>
    </row>
    <row r="38" spans="1:7" x14ac:dyDescent="0.2">
      <c r="A38" s="25" t="s">
        <v>68</v>
      </c>
      <c r="B38" s="25" t="s">
        <v>72</v>
      </c>
      <c r="C38" s="30">
        <v>42812</v>
      </c>
      <c r="D38" s="31">
        <f t="shared" si="0"/>
        <v>8</v>
      </c>
      <c r="E38" s="32">
        <f t="shared" si="1"/>
        <v>240</v>
      </c>
      <c r="F38" s="33">
        <v>10</v>
      </c>
      <c r="G38" s="33">
        <v>18</v>
      </c>
    </row>
    <row r="39" spans="1:7" x14ac:dyDescent="0.2">
      <c r="A39" s="25" t="s">
        <v>68</v>
      </c>
      <c r="B39" s="25" t="s">
        <v>76</v>
      </c>
      <c r="C39" s="30">
        <v>42815</v>
      </c>
      <c r="D39" s="31">
        <f t="shared" si="0"/>
        <v>3</v>
      </c>
      <c r="E39" s="32">
        <f t="shared" si="1"/>
        <v>90</v>
      </c>
      <c r="F39" s="33">
        <v>19</v>
      </c>
      <c r="G39" s="33">
        <v>22</v>
      </c>
    </row>
    <row r="40" spans="1:7" x14ac:dyDescent="0.2">
      <c r="A40" s="25" t="s">
        <v>68</v>
      </c>
      <c r="B40" s="25" t="s">
        <v>69</v>
      </c>
      <c r="C40" s="30">
        <v>42817</v>
      </c>
      <c r="D40" s="31">
        <f t="shared" si="0"/>
        <v>3</v>
      </c>
      <c r="E40" s="32">
        <f t="shared" si="1"/>
        <v>90</v>
      </c>
      <c r="F40" s="33">
        <v>19</v>
      </c>
      <c r="G40" s="33">
        <v>22</v>
      </c>
    </row>
    <row r="41" spans="1:7" x14ac:dyDescent="0.2">
      <c r="A41" s="25" t="s">
        <v>68</v>
      </c>
      <c r="B41" s="25" t="s">
        <v>72</v>
      </c>
      <c r="C41" s="30">
        <v>42819</v>
      </c>
      <c r="D41" s="31">
        <f t="shared" si="0"/>
        <v>8</v>
      </c>
      <c r="E41" s="32">
        <f t="shared" si="1"/>
        <v>240</v>
      </c>
      <c r="F41" s="33">
        <v>10</v>
      </c>
      <c r="G41" s="33">
        <v>18</v>
      </c>
    </row>
  </sheetData>
  <autoFilter ref="A2:H41" xr:uid="{00000000-0009-0000-0000-000016000000}"/>
  <pageMargins left="0.7" right="0.7" top="0.75" bottom="0.75" header="0.3" footer="0.3"/>
  <pageSetup paperSize="9" orientation="portrait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6"/>
  </sheetPr>
  <dimension ref="A1:R1048576"/>
  <sheetViews>
    <sheetView showGridLines="0" zoomScale="80" zoomScaleNormal="80" zoomScalePageLayoutView="80" workbookViewId="0">
      <selection activeCell="L46" sqref="L46"/>
    </sheetView>
  </sheetViews>
  <sheetFormatPr baseColWidth="10" defaultColWidth="8.6640625" defaultRowHeight="15" outlineLevelCol="1" x14ac:dyDescent="0.2"/>
  <cols>
    <col min="1" max="1" width="8.6640625" style="25"/>
    <col min="2" max="2" width="11.5" style="25" customWidth="1"/>
    <col min="3" max="3" width="12.1640625" style="25" customWidth="1"/>
    <col min="4" max="4" width="9.1640625" style="25" customWidth="1" outlineLevel="1"/>
    <col min="5" max="9" width="12.6640625" style="25" customWidth="1" outlineLevel="1"/>
    <col min="10" max="11" width="8.6640625" style="25" customWidth="1" outlineLevel="1"/>
    <col min="12" max="12" width="50" style="25" customWidth="1"/>
    <col min="13" max="13" width="46.5" style="25" customWidth="1"/>
    <col min="14" max="14" width="36.5" style="46" bestFit="1" customWidth="1"/>
    <col min="15" max="15" width="16.6640625" style="46" customWidth="1"/>
    <col min="16" max="16384" width="8.6640625" style="25"/>
  </cols>
  <sheetData>
    <row r="1" spans="1:15" x14ac:dyDescent="0.2">
      <c r="C1" s="76"/>
      <c r="D1" s="26">
        <f t="shared" ref="D1:I1" si="0">SUBTOTAL(9,D3:D41)</f>
        <v>137</v>
      </c>
      <c r="E1" s="27">
        <f t="shared" si="0"/>
        <v>4140</v>
      </c>
      <c r="F1" s="27">
        <f t="shared" si="0"/>
        <v>3272</v>
      </c>
      <c r="G1" s="27">
        <f t="shared" si="0"/>
        <v>3272</v>
      </c>
      <c r="H1" s="27">
        <f t="shared" si="0"/>
        <v>868</v>
      </c>
      <c r="I1" s="27">
        <f t="shared" si="0"/>
        <v>276</v>
      </c>
    </row>
    <row r="2" spans="1:15" s="29" customFormat="1" ht="48" x14ac:dyDescent="0.15">
      <c r="A2" s="28" t="s">
        <v>61</v>
      </c>
      <c r="B2" s="28" t="s">
        <v>62</v>
      </c>
      <c r="C2" s="28" t="s">
        <v>63</v>
      </c>
      <c r="D2" s="28" t="s">
        <v>64</v>
      </c>
      <c r="E2" s="57" t="s">
        <v>103</v>
      </c>
      <c r="F2" s="77" t="s">
        <v>104</v>
      </c>
      <c r="G2" s="47" t="s">
        <v>80</v>
      </c>
      <c r="H2" s="57" t="s">
        <v>106</v>
      </c>
      <c r="I2" s="57" t="s">
        <v>105</v>
      </c>
      <c r="J2" s="28" t="s">
        <v>65</v>
      </c>
      <c r="K2" s="28" t="s">
        <v>66</v>
      </c>
      <c r="L2" s="47" t="s">
        <v>31</v>
      </c>
      <c r="M2" s="57" t="s">
        <v>109</v>
      </c>
      <c r="N2" s="48" t="s">
        <v>81</v>
      </c>
      <c r="O2" s="48" t="s">
        <v>82</v>
      </c>
    </row>
    <row r="3" spans="1:15" x14ac:dyDescent="0.2">
      <c r="A3" s="25" t="s">
        <v>68</v>
      </c>
      <c r="B3" s="25" t="s">
        <v>69</v>
      </c>
      <c r="C3" s="30">
        <v>42698</v>
      </c>
      <c r="D3" s="31">
        <f t="shared" ref="D3:D41" si="1">K3-J3</f>
        <v>3</v>
      </c>
      <c r="E3" s="32">
        <f t="shared" ref="E3:E40" si="2">25*D3*1.2</f>
        <v>90</v>
      </c>
      <c r="F3" s="78">
        <v>54</v>
      </c>
      <c r="G3" s="49">
        <f>15*1.2*D3</f>
        <v>54</v>
      </c>
      <c r="H3" s="60">
        <f t="shared" ref="H3:H8" si="3">E3-F3</f>
        <v>36</v>
      </c>
      <c r="I3" s="60">
        <f>E3-G3</f>
        <v>36</v>
      </c>
      <c r="J3" s="33">
        <v>19</v>
      </c>
      <c r="K3" s="33">
        <v>22</v>
      </c>
      <c r="L3" s="56" t="s">
        <v>110</v>
      </c>
      <c r="M3" s="34" t="s">
        <v>70</v>
      </c>
      <c r="N3" s="65" t="s">
        <v>133</v>
      </c>
      <c r="O3" s="50" t="s">
        <v>84</v>
      </c>
    </row>
    <row r="4" spans="1:15" x14ac:dyDescent="0.2">
      <c r="A4" s="25" t="s">
        <v>68</v>
      </c>
      <c r="B4" s="25" t="s">
        <v>71</v>
      </c>
      <c r="C4" s="30">
        <v>42699</v>
      </c>
      <c r="D4" s="31">
        <f t="shared" si="1"/>
        <v>3</v>
      </c>
      <c r="E4" s="32">
        <f t="shared" si="2"/>
        <v>90</v>
      </c>
      <c r="F4" s="78">
        <v>54</v>
      </c>
      <c r="G4" s="49">
        <f>15*1.2*D4</f>
        <v>54</v>
      </c>
      <c r="H4" s="60">
        <f t="shared" si="3"/>
        <v>36</v>
      </c>
      <c r="I4" s="60">
        <f>E4-G4</f>
        <v>36</v>
      </c>
      <c r="J4" s="33">
        <v>19</v>
      </c>
      <c r="K4" s="33">
        <v>22</v>
      </c>
      <c r="L4" s="56" t="s">
        <v>110</v>
      </c>
      <c r="M4" s="34" t="s">
        <v>70</v>
      </c>
      <c r="N4" s="65" t="s">
        <v>133</v>
      </c>
      <c r="O4" s="50" t="s">
        <v>84</v>
      </c>
    </row>
    <row r="5" spans="1:15" x14ac:dyDescent="0.2">
      <c r="A5" s="25" t="s">
        <v>68</v>
      </c>
      <c r="B5" s="25" t="s">
        <v>72</v>
      </c>
      <c r="C5" s="30">
        <v>42700</v>
      </c>
      <c r="D5" s="31">
        <f t="shared" si="1"/>
        <v>7</v>
      </c>
      <c r="E5" s="32">
        <f t="shared" si="2"/>
        <v>210</v>
      </c>
      <c r="F5" s="78">
        <v>126</v>
      </c>
      <c r="G5" s="49">
        <f>15*1.2*D5</f>
        <v>126</v>
      </c>
      <c r="H5" s="60">
        <f t="shared" si="3"/>
        <v>84</v>
      </c>
      <c r="I5" s="60">
        <f>E5-G5</f>
        <v>84</v>
      </c>
      <c r="J5" s="35">
        <v>10</v>
      </c>
      <c r="K5" s="33">
        <v>17</v>
      </c>
      <c r="L5" s="56" t="s">
        <v>110</v>
      </c>
      <c r="M5" s="34" t="s">
        <v>70</v>
      </c>
      <c r="N5" s="65" t="s">
        <v>133</v>
      </c>
      <c r="O5" s="50" t="s">
        <v>84</v>
      </c>
    </row>
    <row r="6" spans="1:15" x14ac:dyDescent="0.2">
      <c r="A6" s="25" t="s">
        <v>68</v>
      </c>
      <c r="B6" s="25" t="s">
        <v>69</v>
      </c>
      <c r="C6" s="30">
        <v>42712</v>
      </c>
      <c r="D6" s="31">
        <f t="shared" si="1"/>
        <v>4</v>
      </c>
      <c r="E6" s="32">
        <f t="shared" si="2"/>
        <v>120</v>
      </c>
      <c r="F6" s="78">
        <v>72</v>
      </c>
      <c r="G6" s="49">
        <f>15*1.2*D6</f>
        <v>72</v>
      </c>
      <c r="H6" s="60">
        <f t="shared" si="3"/>
        <v>48</v>
      </c>
      <c r="I6" s="60">
        <f>E6-G6</f>
        <v>48</v>
      </c>
      <c r="J6" s="33">
        <v>18</v>
      </c>
      <c r="K6" s="33">
        <v>22</v>
      </c>
      <c r="L6" s="56" t="s">
        <v>110</v>
      </c>
      <c r="M6" s="34" t="s">
        <v>73</v>
      </c>
      <c r="N6" s="65" t="s">
        <v>133</v>
      </c>
      <c r="O6" s="50" t="s">
        <v>84</v>
      </c>
    </row>
    <row r="7" spans="1:15" x14ac:dyDescent="0.2">
      <c r="A7" s="25" t="s">
        <v>68</v>
      </c>
      <c r="B7" s="25" t="s">
        <v>72</v>
      </c>
      <c r="C7" s="30">
        <v>42714</v>
      </c>
      <c r="D7" s="31">
        <f t="shared" si="1"/>
        <v>6</v>
      </c>
      <c r="E7" s="32">
        <f t="shared" si="2"/>
        <v>180</v>
      </c>
      <c r="F7" s="78">
        <v>108</v>
      </c>
      <c r="G7" s="49">
        <f>15*1.2*D7</f>
        <v>108</v>
      </c>
      <c r="H7" s="60">
        <f t="shared" si="3"/>
        <v>72</v>
      </c>
      <c r="I7" s="60">
        <f>E7-G7</f>
        <v>72</v>
      </c>
      <c r="J7" s="33">
        <v>11</v>
      </c>
      <c r="K7" s="33">
        <v>17</v>
      </c>
      <c r="L7" s="56" t="s">
        <v>110</v>
      </c>
      <c r="M7" s="34" t="s">
        <v>73</v>
      </c>
      <c r="N7" s="65" t="s">
        <v>133</v>
      </c>
      <c r="O7" s="50" t="s">
        <v>84</v>
      </c>
    </row>
    <row r="8" spans="1:15" x14ac:dyDescent="0.2">
      <c r="A8" s="25" t="s">
        <v>68</v>
      </c>
      <c r="B8" s="25" t="s">
        <v>72</v>
      </c>
      <c r="C8" s="30">
        <v>42742</v>
      </c>
      <c r="D8" s="31">
        <f t="shared" si="1"/>
        <v>5</v>
      </c>
      <c r="E8" s="32">
        <f t="shared" si="2"/>
        <v>150</v>
      </c>
      <c r="F8" s="58">
        <f>30*D8*1.2</f>
        <v>180</v>
      </c>
      <c r="G8" s="32">
        <v>180</v>
      </c>
      <c r="H8" s="60">
        <f t="shared" si="3"/>
        <v>-30</v>
      </c>
      <c r="I8" s="60"/>
      <c r="J8" s="33">
        <v>11</v>
      </c>
      <c r="K8" s="33">
        <v>16</v>
      </c>
      <c r="L8" s="55" t="s">
        <v>107</v>
      </c>
      <c r="M8" s="63" t="s">
        <v>111</v>
      </c>
      <c r="N8" s="65" t="s">
        <v>133</v>
      </c>
      <c r="O8" s="81" t="s">
        <v>84</v>
      </c>
    </row>
    <row r="9" spans="1:15" x14ac:dyDescent="0.2">
      <c r="A9" s="25" t="s">
        <v>68</v>
      </c>
      <c r="B9" s="25" t="s">
        <v>76</v>
      </c>
      <c r="C9" s="30">
        <v>42745</v>
      </c>
      <c r="D9" s="31">
        <f t="shared" si="1"/>
        <v>2</v>
      </c>
      <c r="E9" s="32">
        <f t="shared" si="2"/>
        <v>60</v>
      </c>
      <c r="F9" s="64">
        <v>30</v>
      </c>
      <c r="G9" s="49">
        <v>30</v>
      </c>
      <c r="H9" s="60">
        <f t="shared" ref="H9:H41" si="4">E9-F9</f>
        <v>30</v>
      </c>
      <c r="I9" s="60"/>
      <c r="J9" s="33">
        <v>19</v>
      </c>
      <c r="K9" s="33">
        <v>21</v>
      </c>
      <c r="L9" s="66" t="s">
        <v>165</v>
      </c>
      <c r="M9" s="68" t="s">
        <v>167</v>
      </c>
      <c r="N9" s="65" t="s">
        <v>132</v>
      </c>
      <c r="O9" s="67" t="s">
        <v>166</v>
      </c>
    </row>
    <row r="10" spans="1:15" x14ac:dyDescent="0.2">
      <c r="A10" s="25" t="s">
        <v>68</v>
      </c>
      <c r="B10" s="25" t="s">
        <v>69</v>
      </c>
      <c r="C10" s="30">
        <v>42747</v>
      </c>
      <c r="D10" s="31">
        <f t="shared" si="1"/>
        <v>2</v>
      </c>
      <c r="E10" s="32">
        <f t="shared" si="2"/>
        <v>60</v>
      </c>
      <c r="F10" s="64">
        <v>30</v>
      </c>
      <c r="G10" s="49">
        <v>30</v>
      </c>
      <c r="H10" s="60">
        <f t="shared" si="4"/>
        <v>30</v>
      </c>
      <c r="I10" s="60"/>
      <c r="J10" s="33">
        <v>19</v>
      </c>
      <c r="K10" s="33">
        <v>21</v>
      </c>
      <c r="L10" s="66" t="s">
        <v>165</v>
      </c>
      <c r="M10" s="68" t="s">
        <v>167</v>
      </c>
      <c r="N10" s="65" t="s">
        <v>132</v>
      </c>
      <c r="O10" s="67" t="s">
        <v>166</v>
      </c>
    </row>
    <row r="11" spans="1:15" x14ac:dyDescent="0.2">
      <c r="A11" s="25" t="s">
        <v>68</v>
      </c>
      <c r="B11" s="25" t="s">
        <v>72</v>
      </c>
      <c r="C11" s="30">
        <v>42749</v>
      </c>
      <c r="D11" s="31">
        <f t="shared" si="1"/>
        <v>5</v>
      </c>
      <c r="E11" s="32">
        <f t="shared" si="2"/>
        <v>150</v>
      </c>
      <c r="F11" s="71">
        <f>90+45</f>
        <v>135</v>
      </c>
      <c r="G11" s="49">
        <f>90+45</f>
        <v>135</v>
      </c>
      <c r="H11" s="60">
        <f t="shared" si="4"/>
        <v>15</v>
      </c>
      <c r="I11" s="60"/>
      <c r="J11" s="33">
        <v>11</v>
      </c>
      <c r="K11" s="33">
        <v>16</v>
      </c>
      <c r="L11" s="70" t="s">
        <v>168</v>
      </c>
      <c r="M11" s="70" t="s">
        <v>131</v>
      </c>
      <c r="N11" s="70" t="s">
        <v>132</v>
      </c>
      <c r="O11" s="67" t="s">
        <v>166</v>
      </c>
    </row>
    <row r="12" spans="1:15" x14ac:dyDescent="0.2">
      <c r="A12" s="25" t="s">
        <v>68</v>
      </c>
      <c r="B12" s="25" t="s">
        <v>76</v>
      </c>
      <c r="C12" s="30">
        <v>42752</v>
      </c>
      <c r="D12" s="31">
        <f t="shared" si="1"/>
        <v>2</v>
      </c>
      <c r="E12" s="32">
        <f t="shared" si="2"/>
        <v>60</v>
      </c>
      <c r="F12" s="64">
        <v>30</v>
      </c>
      <c r="G12" s="49">
        <v>30</v>
      </c>
      <c r="H12" s="60">
        <f t="shared" si="4"/>
        <v>30</v>
      </c>
      <c r="I12" s="60"/>
      <c r="J12" s="33">
        <v>19</v>
      </c>
      <c r="K12" s="33">
        <v>21</v>
      </c>
      <c r="L12" s="66" t="s">
        <v>165</v>
      </c>
      <c r="M12" s="68" t="s">
        <v>167</v>
      </c>
      <c r="N12" s="65" t="s">
        <v>132</v>
      </c>
      <c r="O12" s="67" t="s">
        <v>166</v>
      </c>
    </row>
    <row r="13" spans="1:15" x14ac:dyDescent="0.2">
      <c r="A13" s="25" t="s">
        <v>68</v>
      </c>
      <c r="B13" s="25" t="s">
        <v>69</v>
      </c>
      <c r="C13" s="30">
        <v>42754</v>
      </c>
      <c r="D13" s="31">
        <f t="shared" si="1"/>
        <v>2</v>
      </c>
      <c r="E13" s="32">
        <f t="shared" si="2"/>
        <v>60</v>
      </c>
      <c r="F13" s="64">
        <v>30</v>
      </c>
      <c r="G13" s="49">
        <v>30</v>
      </c>
      <c r="H13" s="60">
        <f t="shared" si="4"/>
        <v>30</v>
      </c>
      <c r="I13" s="60"/>
      <c r="J13" s="33">
        <v>19</v>
      </c>
      <c r="K13" s="33">
        <v>21</v>
      </c>
      <c r="L13" s="66" t="s">
        <v>165</v>
      </c>
      <c r="M13" s="68" t="s">
        <v>167</v>
      </c>
      <c r="N13" s="65" t="s">
        <v>132</v>
      </c>
      <c r="O13" s="67" t="s">
        <v>166</v>
      </c>
    </row>
    <row r="14" spans="1:15" x14ac:dyDescent="0.2">
      <c r="A14" s="25" t="s">
        <v>68</v>
      </c>
      <c r="B14" s="25" t="s">
        <v>72</v>
      </c>
      <c r="C14" s="30">
        <v>42756</v>
      </c>
      <c r="D14" s="31">
        <f t="shared" si="1"/>
        <v>5</v>
      </c>
      <c r="E14" s="32">
        <f t="shared" si="2"/>
        <v>150</v>
      </c>
      <c r="F14" s="59">
        <f>15*D14*1.2</f>
        <v>90</v>
      </c>
      <c r="G14" s="32">
        <v>90</v>
      </c>
      <c r="H14" s="60">
        <f t="shared" si="4"/>
        <v>60</v>
      </c>
      <c r="I14" s="60"/>
      <c r="J14" s="33">
        <v>11</v>
      </c>
      <c r="K14" s="33">
        <v>16</v>
      </c>
      <c r="L14" s="56" t="s">
        <v>96</v>
      </c>
      <c r="M14" s="63" t="s">
        <v>112</v>
      </c>
      <c r="N14" s="65" t="s">
        <v>133</v>
      </c>
      <c r="O14" s="81" t="s">
        <v>84</v>
      </c>
    </row>
    <row r="15" spans="1:15" x14ac:dyDescent="0.2">
      <c r="A15" s="25" t="s">
        <v>68</v>
      </c>
      <c r="B15" s="25" t="s">
        <v>76</v>
      </c>
      <c r="C15" s="30">
        <v>42759</v>
      </c>
      <c r="D15" s="31">
        <f t="shared" si="1"/>
        <v>2</v>
      </c>
      <c r="E15" s="32">
        <f t="shared" si="2"/>
        <v>60</v>
      </c>
      <c r="F15" s="59">
        <f>15*D15*1.2</f>
        <v>36</v>
      </c>
      <c r="G15" s="32">
        <v>36</v>
      </c>
      <c r="H15" s="60">
        <f t="shared" si="4"/>
        <v>24</v>
      </c>
      <c r="I15" s="60"/>
      <c r="J15" s="33">
        <v>19</v>
      </c>
      <c r="K15" s="33">
        <v>21</v>
      </c>
      <c r="L15" s="56" t="s">
        <v>96</v>
      </c>
      <c r="M15" s="63" t="s">
        <v>113</v>
      </c>
      <c r="N15" s="65" t="s">
        <v>133</v>
      </c>
      <c r="O15" s="81" t="s">
        <v>84</v>
      </c>
    </row>
    <row r="16" spans="1:15" x14ac:dyDescent="0.2">
      <c r="A16" s="25" t="s">
        <v>68</v>
      </c>
      <c r="B16" s="25" t="s">
        <v>69</v>
      </c>
      <c r="C16" s="30">
        <v>42761</v>
      </c>
      <c r="D16" s="31">
        <f t="shared" si="1"/>
        <v>2</v>
      </c>
      <c r="E16" s="32">
        <f t="shared" si="2"/>
        <v>60</v>
      </c>
      <c r="F16" s="62">
        <f>(15*D16*1.2)</f>
        <v>36</v>
      </c>
      <c r="G16" s="32">
        <v>36</v>
      </c>
      <c r="H16" s="60">
        <f t="shared" si="4"/>
        <v>24</v>
      </c>
      <c r="I16" s="60"/>
      <c r="J16" s="33">
        <v>19</v>
      </c>
      <c r="K16" s="33">
        <v>21</v>
      </c>
      <c r="L16" s="61" t="s">
        <v>97</v>
      </c>
      <c r="M16" s="63" t="s">
        <v>114</v>
      </c>
      <c r="N16" s="75" t="s">
        <v>171</v>
      </c>
      <c r="O16" s="81" t="s">
        <v>84</v>
      </c>
    </row>
    <row r="17" spans="1:18" x14ac:dyDescent="0.2">
      <c r="A17" s="25" t="s">
        <v>68</v>
      </c>
      <c r="B17" s="25" t="s">
        <v>72</v>
      </c>
      <c r="C17" s="30">
        <v>42763</v>
      </c>
      <c r="D17" s="31">
        <f t="shared" si="1"/>
        <v>5</v>
      </c>
      <c r="E17" s="32">
        <f t="shared" si="2"/>
        <v>150</v>
      </c>
      <c r="F17" s="58">
        <f>(15*3*1.2)+(30*2*1.2)</f>
        <v>126</v>
      </c>
      <c r="G17" s="32">
        <v>126</v>
      </c>
      <c r="H17" s="60">
        <f t="shared" si="4"/>
        <v>24</v>
      </c>
      <c r="I17" s="60"/>
      <c r="J17" s="33">
        <v>11</v>
      </c>
      <c r="K17" s="33">
        <v>16</v>
      </c>
      <c r="L17" s="55" t="s">
        <v>98</v>
      </c>
      <c r="M17" s="63" t="s">
        <v>115</v>
      </c>
      <c r="N17" s="65" t="s">
        <v>133</v>
      </c>
      <c r="O17" s="81" t="s">
        <v>84</v>
      </c>
    </row>
    <row r="18" spans="1:18" x14ac:dyDescent="0.2">
      <c r="A18" s="25" t="s">
        <v>68</v>
      </c>
      <c r="B18" s="25" t="s">
        <v>76</v>
      </c>
      <c r="C18" s="30">
        <v>42766</v>
      </c>
      <c r="D18" s="31">
        <f t="shared" si="1"/>
        <v>2</v>
      </c>
      <c r="E18" s="32">
        <f t="shared" si="2"/>
        <v>60</v>
      </c>
      <c r="F18" s="59">
        <f>15*D18*1.2</f>
        <v>36</v>
      </c>
      <c r="G18" s="32">
        <v>36</v>
      </c>
      <c r="H18" s="60">
        <f t="shared" si="4"/>
        <v>24</v>
      </c>
      <c r="I18" s="60"/>
      <c r="J18" s="33">
        <v>19</v>
      </c>
      <c r="K18" s="33">
        <v>21</v>
      </c>
      <c r="L18" s="56" t="s">
        <v>96</v>
      </c>
      <c r="M18" s="63" t="s">
        <v>116</v>
      </c>
      <c r="N18" s="65" t="s">
        <v>133</v>
      </c>
      <c r="O18" s="81" t="s">
        <v>84</v>
      </c>
    </row>
    <row r="19" spans="1:18" x14ac:dyDescent="0.2">
      <c r="A19" s="25" t="s">
        <v>68</v>
      </c>
      <c r="B19" s="25" t="s">
        <v>69</v>
      </c>
      <c r="C19" s="30">
        <v>42768</v>
      </c>
      <c r="D19" s="31">
        <f t="shared" si="1"/>
        <v>2</v>
      </c>
      <c r="E19" s="32">
        <f t="shared" si="2"/>
        <v>60</v>
      </c>
      <c r="F19" s="62">
        <f>(15*D19*1.2)</f>
        <v>36</v>
      </c>
      <c r="G19" s="32">
        <v>36</v>
      </c>
      <c r="H19" s="60">
        <f t="shared" si="4"/>
        <v>24</v>
      </c>
      <c r="I19" s="60"/>
      <c r="J19" s="33">
        <v>19</v>
      </c>
      <c r="K19" s="33">
        <v>21</v>
      </c>
      <c r="L19" s="61" t="s">
        <v>97</v>
      </c>
      <c r="M19" s="63" t="s">
        <v>117</v>
      </c>
      <c r="N19" s="75" t="s">
        <v>171</v>
      </c>
      <c r="O19" s="81" t="s">
        <v>84</v>
      </c>
    </row>
    <row r="20" spans="1:18" x14ac:dyDescent="0.2">
      <c r="A20" s="25" t="s">
        <v>68</v>
      </c>
      <c r="B20" s="25" t="s">
        <v>72</v>
      </c>
      <c r="C20" s="30">
        <v>42770</v>
      </c>
      <c r="D20" s="31">
        <f t="shared" si="1"/>
        <v>5</v>
      </c>
      <c r="E20" s="32">
        <f t="shared" si="2"/>
        <v>150</v>
      </c>
      <c r="F20" s="58">
        <f>30*D20*1.2</f>
        <v>180</v>
      </c>
      <c r="G20" s="32">
        <v>180</v>
      </c>
      <c r="H20" s="60">
        <f t="shared" si="4"/>
        <v>-30</v>
      </c>
      <c r="I20" s="60"/>
      <c r="J20" s="33">
        <v>11</v>
      </c>
      <c r="K20" s="33">
        <v>16</v>
      </c>
      <c r="L20" s="55" t="s">
        <v>107</v>
      </c>
      <c r="M20" s="63" t="s">
        <v>118</v>
      </c>
      <c r="N20" s="65" t="s">
        <v>133</v>
      </c>
      <c r="O20" s="81" t="s">
        <v>84</v>
      </c>
    </row>
    <row r="21" spans="1:18" x14ac:dyDescent="0.2">
      <c r="A21" s="25" t="s">
        <v>68</v>
      </c>
      <c r="B21" s="25" t="s">
        <v>76</v>
      </c>
      <c r="C21" s="30">
        <v>42773</v>
      </c>
      <c r="D21" s="31">
        <f t="shared" si="1"/>
        <v>2</v>
      </c>
      <c r="E21" s="32">
        <f t="shared" si="2"/>
        <v>60</v>
      </c>
      <c r="F21" s="59">
        <f>15*D21*1.2</f>
        <v>36</v>
      </c>
      <c r="G21" s="32">
        <v>36</v>
      </c>
      <c r="H21" s="60">
        <f t="shared" si="4"/>
        <v>24</v>
      </c>
      <c r="I21" s="60"/>
      <c r="J21" s="33">
        <v>19</v>
      </c>
      <c r="K21" s="33">
        <v>21</v>
      </c>
      <c r="L21" s="56" t="s">
        <v>96</v>
      </c>
      <c r="M21" s="63" t="s">
        <v>119</v>
      </c>
      <c r="N21" s="65" t="s">
        <v>133</v>
      </c>
      <c r="O21" s="81" t="s">
        <v>84</v>
      </c>
    </row>
    <row r="22" spans="1:18" x14ac:dyDescent="0.2">
      <c r="A22" s="25" t="s">
        <v>68</v>
      </c>
      <c r="B22" s="25" t="s">
        <v>69</v>
      </c>
      <c r="C22" s="30">
        <v>42775</v>
      </c>
      <c r="D22" s="31">
        <f t="shared" si="1"/>
        <v>2</v>
      </c>
      <c r="E22" s="32">
        <f t="shared" si="2"/>
        <v>60</v>
      </c>
      <c r="F22" s="62">
        <f>(15*D22*1.2)</f>
        <v>36</v>
      </c>
      <c r="G22" s="32">
        <v>36</v>
      </c>
      <c r="H22" s="60">
        <f t="shared" si="4"/>
        <v>24</v>
      </c>
      <c r="I22" s="60"/>
      <c r="J22" s="33">
        <v>19</v>
      </c>
      <c r="K22" s="33">
        <v>21</v>
      </c>
      <c r="L22" s="61" t="s">
        <v>97</v>
      </c>
      <c r="M22" s="63" t="s">
        <v>120</v>
      </c>
      <c r="N22" s="75" t="s">
        <v>171</v>
      </c>
      <c r="O22" s="81" t="s">
        <v>84</v>
      </c>
    </row>
    <row r="23" spans="1:18" x14ac:dyDescent="0.2">
      <c r="A23" s="25" t="s">
        <v>68</v>
      </c>
      <c r="B23" s="25" t="s">
        <v>72</v>
      </c>
      <c r="C23" s="30">
        <v>42777</v>
      </c>
      <c r="D23" s="31">
        <f t="shared" si="1"/>
        <v>5</v>
      </c>
      <c r="E23" s="32">
        <f t="shared" si="2"/>
        <v>150</v>
      </c>
      <c r="F23" s="59">
        <f>15*D23*1.2</f>
        <v>90</v>
      </c>
      <c r="G23" s="32">
        <v>90</v>
      </c>
      <c r="H23" s="60">
        <f t="shared" si="4"/>
        <v>60</v>
      </c>
      <c r="I23" s="60"/>
      <c r="J23" s="33">
        <v>11</v>
      </c>
      <c r="K23" s="33">
        <v>16</v>
      </c>
      <c r="L23" s="56" t="s">
        <v>96</v>
      </c>
      <c r="M23" s="63" t="s">
        <v>118</v>
      </c>
      <c r="N23" s="65" t="s">
        <v>133</v>
      </c>
      <c r="O23" s="81" t="s">
        <v>84</v>
      </c>
    </row>
    <row r="24" spans="1:18" x14ac:dyDescent="0.2">
      <c r="A24" s="25" t="s">
        <v>68</v>
      </c>
      <c r="B24" s="25" t="s">
        <v>76</v>
      </c>
      <c r="C24" s="30">
        <v>42780</v>
      </c>
      <c r="D24" s="31">
        <f t="shared" si="1"/>
        <v>2</v>
      </c>
      <c r="E24" s="32">
        <f t="shared" si="2"/>
        <v>60</v>
      </c>
      <c r="F24" s="59">
        <f>15*D24*1.2</f>
        <v>36</v>
      </c>
      <c r="G24" s="32">
        <v>36</v>
      </c>
      <c r="H24" s="60">
        <f t="shared" si="4"/>
        <v>24</v>
      </c>
      <c r="I24" s="60"/>
      <c r="J24" s="33">
        <v>19</v>
      </c>
      <c r="K24" s="33">
        <v>21</v>
      </c>
      <c r="L24" s="56" t="s">
        <v>96</v>
      </c>
      <c r="M24" s="63" t="s">
        <v>121</v>
      </c>
      <c r="N24" s="65" t="s">
        <v>133</v>
      </c>
      <c r="O24" s="81" t="s">
        <v>84</v>
      </c>
    </row>
    <row r="25" spans="1:18" x14ac:dyDescent="0.2">
      <c r="A25" s="25" t="s">
        <v>68</v>
      </c>
      <c r="B25" s="25" t="s">
        <v>69</v>
      </c>
      <c r="C25" s="30">
        <v>42782</v>
      </c>
      <c r="D25" s="31">
        <f t="shared" si="1"/>
        <v>2</v>
      </c>
      <c r="E25" s="32">
        <f t="shared" si="2"/>
        <v>60</v>
      </c>
      <c r="F25" s="62">
        <f>(15*D25*1.2)</f>
        <v>36</v>
      </c>
      <c r="G25" s="32">
        <v>36</v>
      </c>
      <c r="H25" s="60">
        <f t="shared" si="4"/>
        <v>24</v>
      </c>
      <c r="I25" s="60"/>
      <c r="J25" s="33">
        <v>19</v>
      </c>
      <c r="K25" s="33">
        <v>21</v>
      </c>
      <c r="L25" s="61" t="s">
        <v>97</v>
      </c>
      <c r="M25" s="63" t="s">
        <v>122</v>
      </c>
      <c r="N25" s="75" t="s">
        <v>171</v>
      </c>
      <c r="O25" s="81" t="s">
        <v>84</v>
      </c>
    </row>
    <row r="26" spans="1:18" x14ac:dyDescent="0.2">
      <c r="A26" s="25" t="s">
        <v>68</v>
      </c>
      <c r="B26" s="25" t="s">
        <v>72</v>
      </c>
      <c r="C26" s="30">
        <v>42784</v>
      </c>
      <c r="D26" s="31">
        <f t="shared" si="1"/>
        <v>5</v>
      </c>
      <c r="E26" s="32">
        <f t="shared" si="2"/>
        <v>150</v>
      </c>
      <c r="F26" s="58">
        <f>(15*2.5*1.2)+(30*2.5*1.2)</f>
        <v>135</v>
      </c>
      <c r="G26" s="32">
        <v>135</v>
      </c>
      <c r="H26" s="60">
        <f t="shared" si="4"/>
        <v>15</v>
      </c>
      <c r="I26" s="60"/>
      <c r="J26" s="33">
        <v>11</v>
      </c>
      <c r="K26" s="33">
        <v>16</v>
      </c>
      <c r="L26" s="55" t="s">
        <v>108</v>
      </c>
      <c r="M26" s="63" t="s">
        <v>118</v>
      </c>
      <c r="N26" s="65" t="s">
        <v>133</v>
      </c>
      <c r="O26" s="81" t="s">
        <v>84</v>
      </c>
    </row>
    <row r="27" spans="1:18" x14ac:dyDescent="0.2">
      <c r="A27" s="25" t="s">
        <v>68</v>
      </c>
      <c r="B27" s="25" t="s">
        <v>76</v>
      </c>
      <c r="C27" s="30">
        <v>42787</v>
      </c>
      <c r="D27" s="31">
        <f t="shared" si="1"/>
        <v>2</v>
      </c>
      <c r="E27" s="32">
        <f t="shared" si="2"/>
        <v>60</v>
      </c>
      <c r="F27" s="59">
        <f>15*D27*1.2</f>
        <v>36</v>
      </c>
      <c r="G27" s="32">
        <v>36</v>
      </c>
      <c r="H27" s="60">
        <f t="shared" si="4"/>
        <v>24</v>
      </c>
      <c r="I27" s="60"/>
      <c r="J27" s="33">
        <v>19</v>
      </c>
      <c r="K27" s="33">
        <v>21</v>
      </c>
      <c r="L27" s="56" t="s">
        <v>96</v>
      </c>
      <c r="M27" s="63" t="s">
        <v>123</v>
      </c>
      <c r="N27" s="65" t="s">
        <v>133</v>
      </c>
      <c r="O27" s="81" t="s">
        <v>84</v>
      </c>
    </row>
    <row r="28" spans="1:18" x14ac:dyDescent="0.2">
      <c r="A28" s="72" t="s">
        <v>68</v>
      </c>
      <c r="B28" s="72" t="s">
        <v>71</v>
      </c>
      <c r="C28" s="73">
        <v>42790</v>
      </c>
      <c r="D28" s="31">
        <f t="shared" si="1"/>
        <v>2</v>
      </c>
      <c r="E28" s="32">
        <f t="shared" si="2"/>
        <v>60</v>
      </c>
      <c r="F28" s="64">
        <f>40*D28</f>
        <v>80</v>
      </c>
      <c r="G28" s="49">
        <v>80</v>
      </c>
      <c r="H28" s="60">
        <f t="shared" si="4"/>
        <v>-20</v>
      </c>
      <c r="I28" s="60"/>
      <c r="J28" s="33">
        <v>19</v>
      </c>
      <c r="K28" s="33">
        <v>21</v>
      </c>
      <c r="L28" s="66" t="s">
        <v>169</v>
      </c>
      <c r="M28" s="63" t="s">
        <v>124</v>
      </c>
      <c r="N28" s="65" t="s">
        <v>132</v>
      </c>
      <c r="O28" s="67" t="s">
        <v>166</v>
      </c>
      <c r="P28" s="65"/>
      <c r="Q28" s="46"/>
      <c r="R28" s="46"/>
    </row>
    <row r="29" spans="1:18" x14ac:dyDescent="0.2">
      <c r="A29" s="72" t="s">
        <v>68</v>
      </c>
      <c r="B29" s="72" t="s">
        <v>170</v>
      </c>
      <c r="C29" s="73">
        <v>42792</v>
      </c>
      <c r="D29" s="31">
        <f t="shared" si="1"/>
        <v>5</v>
      </c>
      <c r="E29" s="32">
        <f t="shared" si="2"/>
        <v>150</v>
      </c>
      <c r="F29" s="64">
        <f>40*D29</f>
        <v>200</v>
      </c>
      <c r="G29" s="49">
        <v>200</v>
      </c>
      <c r="H29" s="60">
        <f t="shared" si="4"/>
        <v>-50</v>
      </c>
      <c r="I29" s="60"/>
      <c r="J29" s="33">
        <v>11</v>
      </c>
      <c r="K29" s="33">
        <v>16</v>
      </c>
      <c r="L29" s="66" t="s">
        <v>169</v>
      </c>
      <c r="M29" s="63" t="s">
        <v>127</v>
      </c>
      <c r="N29" s="65" t="s">
        <v>132</v>
      </c>
      <c r="O29" s="67" t="s">
        <v>166</v>
      </c>
    </row>
    <row r="30" spans="1:18" x14ac:dyDescent="0.2">
      <c r="A30" s="25" t="s">
        <v>68</v>
      </c>
      <c r="B30" s="25" t="s">
        <v>76</v>
      </c>
      <c r="C30" s="30">
        <v>42794</v>
      </c>
      <c r="D30" s="31">
        <f t="shared" si="1"/>
        <v>2</v>
      </c>
      <c r="E30" s="32">
        <f t="shared" si="2"/>
        <v>60</v>
      </c>
      <c r="F30" s="59">
        <f>15*D30*1.2</f>
        <v>36</v>
      </c>
      <c r="G30" s="32">
        <v>36</v>
      </c>
      <c r="H30" s="60">
        <f t="shared" si="4"/>
        <v>24</v>
      </c>
      <c r="I30" s="60"/>
      <c r="J30" s="33">
        <v>19</v>
      </c>
      <c r="K30" s="33">
        <v>21</v>
      </c>
      <c r="L30" s="56" t="s">
        <v>96</v>
      </c>
      <c r="M30" s="63" t="s">
        <v>123</v>
      </c>
      <c r="N30" s="65" t="s">
        <v>133</v>
      </c>
      <c r="O30" s="81" t="s">
        <v>84</v>
      </c>
    </row>
    <row r="31" spans="1:18" x14ac:dyDescent="0.2">
      <c r="A31" s="25" t="s">
        <v>68</v>
      </c>
      <c r="B31" s="25" t="s">
        <v>69</v>
      </c>
      <c r="C31" s="30">
        <v>42796</v>
      </c>
      <c r="D31" s="31">
        <f t="shared" si="1"/>
        <v>2</v>
      </c>
      <c r="E31" s="32">
        <f t="shared" si="2"/>
        <v>60</v>
      </c>
      <c r="F31" s="58">
        <f>30*D31*1.2</f>
        <v>72</v>
      </c>
      <c r="G31" s="32">
        <v>72</v>
      </c>
      <c r="H31" s="60">
        <f t="shared" si="4"/>
        <v>-12</v>
      </c>
      <c r="I31" s="60"/>
      <c r="J31" s="33">
        <v>19</v>
      </c>
      <c r="K31" s="33">
        <v>21</v>
      </c>
      <c r="L31" s="55" t="s">
        <v>95</v>
      </c>
      <c r="M31" s="63" t="s">
        <v>124</v>
      </c>
      <c r="N31" s="65" t="s">
        <v>133</v>
      </c>
      <c r="O31" s="81" t="s">
        <v>84</v>
      </c>
    </row>
    <row r="32" spans="1:18" x14ac:dyDescent="0.2">
      <c r="A32" s="25" t="s">
        <v>68</v>
      </c>
      <c r="B32" s="25" t="s">
        <v>72</v>
      </c>
      <c r="C32" s="30">
        <v>42798</v>
      </c>
      <c r="D32" s="31">
        <f t="shared" si="1"/>
        <v>5</v>
      </c>
      <c r="E32" s="32">
        <f t="shared" si="2"/>
        <v>150</v>
      </c>
      <c r="F32" s="59">
        <f>15*D32*1.2</f>
        <v>90</v>
      </c>
      <c r="G32" s="32">
        <v>90</v>
      </c>
      <c r="H32" s="60">
        <f t="shared" si="4"/>
        <v>60</v>
      </c>
      <c r="I32" s="60"/>
      <c r="J32" s="33">
        <v>11</v>
      </c>
      <c r="K32" s="33">
        <v>16</v>
      </c>
      <c r="L32" s="56" t="s">
        <v>96</v>
      </c>
      <c r="M32" s="63" t="s">
        <v>127</v>
      </c>
      <c r="N32" s="74" t="s">
        <v>133</v>
      </c>
      <c r="O32" s="81" t="s">
        <v>84</v>
      </c>
    </row>
    <row r="33" spans="1:15" x14ac:dyDescent="0.2">
      <c r="A33" s="25" t="s">
        <v>68</v>
      </c>
      <c r="B33" s="25" t="s">
        <v>76</v>
      </c>
      <c r="C33" s="30">
        <v>42801</v>
      </c>
      <c r="D33" s="31">
        <f t="shared" si="1"/>
        <v>2</v>
      </c>
      <c r="E33" s="32">
        <f t="shared" si="2"/>
        <v>60</v>
      </c>
      <c r="F33" s="59">
        <f>15*D33*1.2</f>
        <v>36</v>
      </c>
      <c r="G33" s="32">
        <v>36</v>
      </c>
      <c r="H33" s="60">
        <f t="shared" si="4"/>
        <v>24</v>
      </c>
      <c r="I33" s="60"/>
      <c r="J33" s="33">
        <v>19</v>
      </c>
      <c r="K33" s="33">
        <v>21</v>
      </c>
      <c r="L33" s="56" t="s">
        <v>96</v>
      </c>
      <c r="M33" s="63" t="s">
        <v>125</v>
      </c>
      <c r="N33" s="65" t="s">
        <v>133</v>
      </c>
      <c r="O33" s="81" t="s">
        <v>84</v>
      </c>
    </row>
    <row r="34" spans="1:15" x14ac:dyDescent="0.2">
      <c r="A34" s="25" t="s">
        <v>68</v>
      </c>
      <c r="B34" s="25" t="s">
        <v>69</v>
      </c>
      <c r="C34" s="30">
        <v>42803</v>
      </c>
      <c r="D34" s="31">
        <f t="shared" si="1"/>
        <v>2</v>
      </c>
      <c r="E34" s="32">
        <f t="shared" si="2"/>
        <v>60</v>
      </c>
      <c r="F34" s="59">
        <f>15*D34*1.2</f>
        <v>36</v>
      </c>
      <c r="G34" s="32">
        <v>36</v>
      </c>
      <c r="H34" s="60">
        <f t="shared" si="4"/>
        <v>24</v>
      </c>
      <c r="I34" s="60"/>
      <c r="J34" s="33">
        <v>19</v>
      </c>
      <c r="K34" s="33">
        <v>21</v>
      </c>
      <c r="L34" s="56" t="s">
        <v>96</v>
      </c>
      <c r="M34" s="63" t="s">
        <v>126</v>
      </c>
      <c r="N34" s="65" t="s">
        <v>133</v>
      </c>
      <c r="O34" s="81" t="s">
        <v>84</v>
      </c>
    </row>
    <row r="35" spans="1:15" x14ac:dyDescent="0.2">
      <c r="A35" s="25" t="s">
        <v>68</v>
      </c>
      <c r="B35" s="25" t="s">
        <v>72</v>
      </c>
      <c r="C35" s="30">
        <v>42805</v>
      </c>
      <c r="D35" s="31">
        <f t="shared" si="1"/>
        <v>6</v>
      </c>
      <c r="E35" s="32">
        <f t="shared" si="2"/>
        <v>180</v>
      </c>
      <c r="F35" s="58">
        <f>(15*2*1.2)+(30*4*1.2)</f>
        <v>180</v>
      </c>
      <c r="G35" s="32">
        <v>180</v>
      </c>
      <c r="H35" s="60">
        <f t="shared" si="4"/>
        <v>0</v>
      </c>
      <c r="I35" s="60"/>
      <c r="J35" s="33">
        <v>11</v>
      </c>
      <c r="K35" s="33">
        <v>17</v>
      </c>
      <c r="L35" s="55" t="s">
        <v>99</v>
      </c>
      <c r="M35" s="63" t="s">
        <v>127</v>
      </c>
      <c r="N35" s="65" t="s">
        <v>133</v>
      </c>
      <c r="O35" s="81" t="s">
        <v>84</v>
      </c>
    </row>
    <row r="36" spans="1:15" x14ac:dyDescent="0.2">
      <c r="A36" s="25" t="s">
        <v>68</v>
      </c>
      <c r="B36" s="25" t="s">
        <v>76</v>
      </c>
      <c r="C36" s="30">
        <v>42808</v>
      </c>
      <c r="D36" s="31">
        <f t="shared" si="1"/>
        <v>3</v>
      </c>
      <c r="E36" s="32">
        <f t="shared" si="2"/>
        <v>90</v>
      </c>
      <c r="F36" s="58">
        <f>(15*2*1.2)+(30*1*1.2)</f>
        <v>72</v>
      </c>
      <c r="G36" s="32">
        <v>72</v>
      </c>
      <c r="H36" s="60">
        <f t="shared" si="4"/>
        <v>18</v>
      </c>
      <c r="I36" s="60"/>
      <c r="J36" s="33">
        <v>19</v>
      </c>
      <c r="K36" s="33">
        <v>22</v>
      </c>
      <c r="L36" s="55" t="s">
        <v>100</v>
      </c>
      <c r="M36" s="63" t="s">
        <v>123</v>
      </c>
      <c r="N36" s="65" t="s">
        <v>133</v>
      </c>
      <c r="O36" s="81" t="s">
        <v>84</v>
      </c>
    </row>
    <row r="37" spans="1:15" x14ac:dyDescent="0.2">
      <c r="A37" s="25" t="s">
        <v>68</v>
      </c>
      <c r="B37" s="25" t="s">
        <v>69</v>
      </c>
      <c r="C37" s="30">
        <v>42810</v>
      </c>
      <c r="D37" s="31">
        <f t="shared" si="1"/>
        <v>3</v>
      </c>
      <c r="E37" s="32">
        <f t="shared" si="2"/>
        <v>90</v>
      </c>
      <c r="F37" s="58">
        <f>(15*2*1.2)+(30*1*1.2)</f>
        <v>72</v>
      </c>
      <c r="G37" s="32">
        <v>72</v>
      </c>
      <c r="H37" s="60">
        <f t="shared" si="4"/>
        <v>18</v>
      </c>
      <c r="I37" s="60"/>
      <c r="J37" s="33">
        <v>19</v>
      </c>
      <c r="K37" s="33">
        <v>22</v>
      </c>
      <c r="L37" s="55" t="s">
        <v>100</v>
      </c>
      <c r="M37" s="63" t="s">
        <v>124</v>
      </c>
      <c r="N37" s="65" t="s">
        <v>133</v>
      </c>
      <c r="O37" s="81" t="s">
        <v>84</v>
      </c>
    </row>
    <row r="38" spans="1:15" x14ac:dyDescent="0.2">
      <c r="A38" s="25" t="s">
        <v>68</v>
      </c>
      <c r="B38" s="25" t="s">
        <v>72</v>
      </c>
      <c r="C38" s="30">
        <v>42812</v>
      </c>
      <c r="D38" s="31">
        <f t="shared" si="1"/>
        <v>8</v>
      </c>
      <c r="E38" s="32">
        <f t="shared" si="2"/>
        <v>240</v>
      </c>
      <c r="F38" s="58">
        <f>(15*6*1.2)+(30*2*1.2)</f>
        <v>180</v>
      </c>
      <c r="G38" s="32">
        <v>180</v>
      </c>
      <c r="H38" s="60">
        <f t="shared" si="4"/>
        <v>60</v>
      </c>
      <c r="I38" s="60"/>
      <c r="J38" s="33">
        <v>10</v>
      </c>
      <c r="K38" s="33">
        <v>18</v>
      </c>
      <c r="L38" s="55" t="s">
        <v>101</v>
      </c>
      <c r="M38" s="63" t="s">
        <v>128</v>
      </c>
      <c r="N38" s="65" t="s">
        <v>133</v>
      </c>
      <c r="O38" s="81" t="s">
        <v>84</v>
      </c>
    </row>
    <row r="39" spans="1:15" x14ac:dyDescent="0.2">
      <c r="A39" s="25" t="s">
        <v>68</v>
      </c>
      <c r="B39" s="25" t="s">
        <v>76</v>
      </c>
      <c r="C39" s="30">
        <v>42815</v>
      </c>
      <c r="D39" s="31">
        <f t="shared" si="1"/>
        <v>3</v>
      </c>
      <c r="E39" s="32">
        <f t="shared" si="2"/>
        <v>90</v>
      </c>
      <c r="F39" s="58">
        <f>(15*2*1.2)+(30*1*1.2)</f>
        <v>72</v>
      </c>
      <c r="G39" s="32">
        <v>72</v>
      </c>
      <c r="H39" s="60">
        <f t="shared" si="4"/>
        <v>18</v>
      </c>
      <c r="I39" s="60"/>
      <c r="J39" s="33">
        <v>19</v>
      </c>
      <c r="K39" s="33">
        <v>22</v>
      </c>
      <c r="L39" s="55" t="s">
        <v>100</v>
      </c>
      <c r="M39" s="63" t="s">
        <v>129</v>
      </c>
      <c r="N39" s="65" t="s">
        <v>133</v>
      </c>
      <c r="O39" s="81" t="s">
        <v>84</v>
      </c>
    </row>
    <row r="40" spans="1:15" x14ac:dyDescent="0.2">
      <c r="A40" s="25" t="s">
        <v>68</v>
      </c>
      <c r="B40" s="25" t="s">
        <v>69</v>
      </c>
      <c r="C40" s="30">
        <v>42817</v>
      </c>
      <c r="D40" s="31">
        <f t="shared" si="1"/>
        <v>3</v>
      </c>
      <c r="E40" s="32">
        <f t="shared" si="2"/>
        <v>90</v>
      </c>
      <c r="F40" s="58">
        <f>(15*2*1.2)+(30*1*1.2)</f>
        <v>72</v>
      </c>
      <c r="G40" s="32">
        <v>72</v>
      </c>
      <c r="H40" s="60">
        <f t="shared" si="4"/>
        <v>18</v>
      </c>
      <c r="I40" s="60"/>
      <c r="J40" s="33">
        <v>19</v>
      </c>
      <c r="K40" s="33">
        <v>22</v>
      </c>
      <c r="L40" s="55" t="s">
        <v>100</v>
      </c>
      <c r="M40" s="63" t="s">
        <v>129</v>
      </c>
      <c r="N40" s="65" t="s">
        <v>133</v>
      </c>
      <c r="O40" s="81" t="s">
        <v>84</v>
      </c>
    </row>
    <row r="41" spans="1:15" x14ac:dyDescent="0.2">
      <c r="A41" s="25" t="s">
        <v>68</v>
      </c>
      <c r="B41" s="25" t="s">
        <v>72</v>
      </c>
      <c r="C41" s="30">
        <v>42819</v>
      </c>
      <c r="D41" s="31">
        <f t="shared" si="1"/>
        <v>7</v>
      </c>
      <c r="E41" s="32">
        <v>240</v>
      </c>
      <c r="F41" s="64">
        <f>40*D41</f>
        <v>280</v>
      </c>
      <c r="G41" s="49">
        <v>280</v>
      </c>
      <c r="H41" s="60">
        <f t="shared" si="4"/>
        <v>-40</v>
      </c>
      <c r="I41" s="60"/>
      <c r="J41" s="33">
        <v>11</v>
      </c>
      <c r="K41" s="33">
        <v>18</v>
      </c>
      <c r="L41" s="66" t="s">
        <v>169</v>
      </c>
      <c r="M41" s="63" t="s">
        <v>130</v>
      </c>
      <c r="N41" s="65" t="s">
        <v>132</v>
      </c>
      <c r="O41" s="67" t="s">
        <v>166</v>
      </c>
    </row>
    <row r="1048576" spans="15:15" x14ac:dyDescent="0.2">
      <c r="O1048576" s="74"/>
    </row>
  </sheetData>
  <autoFilter ref="A2:O41" xr:uid="{00000000-0009-0000-0000-000017000000}"/>
  <conditionalFormatting sqref="H3:H41">
    <cfRule type="cellIs" dxfId="1" priority="2" operator="greaterThan">
      <formula>0</formula>
    </cfRule>
  </conditionalFormatting>
  <conditionalFormatting sqref="I3:I41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360" verticalDpi="36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59"/>
  <sheetViews>
    <sheetView topLeftCell="A133" workbookViewId="0">
      <selection activeCell="E161" sqref="E161"/>
    </sheetView>
  </sheetViews>
  <sheetFormatPr baseColWidth="10" defaultColWidth="9.1640625" defaultRowHeight="15" x14ac:dyDescent="0.2"/>
  <cols>
    <col min="1" max="1" width="67" style="84" customWidth="1"/>
    <col min="2" max="2" width="10.5" style="85" customWidth="1"/>
    <col min="3" max="4" width="10.5" style="84" customWidth="1"/>
    <col min="5" max="16384" width="9.1640625" style="84"/>
  </cols>
  <sheetData>
    <row r="1" spans="1:2" x14ac:dyDescent="0.2">
      <c r="A1" s="84" t="s">
        <v>280</v>
      </c>
    </row>
    <row r="2" spans="1:2" x14ac:dyDescent="0.2">
      <c r="A2" s="89" t="s">
        <v>279</v>
      </c>
      <c r="B2" s="85" t="s">
        <v>278</v>
      </c>
    </row>
    <row r="3" spans="1:2" x14ac:dyDescent="0.2">
      <c r="A3" s="84" t="s">
        <v>277</v>
      </c>
      <c r="B3" s="85">
        <v>412.5</v>
      </c>
    </row>
    <row r="4" spans="1:2" x14ac:dyDescent="0.2">
      <c r="A4" s="84" t="s">
        <v>276</v>
      </c>
      <c r="B4" s="85">
        <v>0</v>
      </c>
    </row>
    <row r="5" spans="1:2" x14ac:dyDescent="0.2">
      <c r="A5" s="84" t="s">
        <v>275</v>
      </c>
      <c r="B5" s="85">
        <v>0</v>
      </c>
    </row>
    <row r="6" spans="1:2" x14ac:dyDescent="0.2">
      <c r="A6" s="92" t="s">
        <v>274</v>
      </c>
      <c r="B6" s="91">
        <v>300</v>
      </c>
    </row>
    <row r="7" spans="1:2" x14ac:dyDescent="0.2">
      <c r="A7" s="84" t="s">
        <v>273</v>
      </c>
    </row>
    <row r="8" spans="1:2" x14ac:dyDescent="0.2">
      <c r="A8" s="89" t="s">
        <v>272</v>
      </c>
      <c r="B8" s="88">
        <f>SUM(B3:B7)</f>
        <v>712.5</v>
      </c>
    </row>
    <row r="9" spans="1:2" x14ac:dyDescent="0.2">
      <c r="A9" s="89"/>
      <c r="B9" s="88"/>
    </row>
    <row r="10" spans="1:2" x14ac:dyDescent="0.2">
      <c r="A10" s="89" t="s">
        <v>320</v>
      </c>
      <c r="B10" s="88"/>
    </row>
    <row r="11" spans="1:2" x14ac:dyDescent="0.2">
      <c r="A11" s="95" t="s">
        <v>321</v>
      </c>
      <c r="B11" s="88">
        <v>37.5</v>
      </c>
    </row>
    <row r="13" spans="1:2" x14ac:dyDescent="0.2">
      <c r="A13" s="89" t="s">
        <v>271</v>
      </c>
    </row>
    <row r="14" spans="1:2" x14ac:dyDescent="0.2">
      <c r="A14" s="84" t="s">
        <v>270</v>
      </c>
      <c r="B14" s="85">
        <v>22.5</v>
      </c>
    </row>
    <row r="15" spans="1:2" x14ac:dyDescent="0.2">
      <c r="A15" s="84" t="s">
        <v>269</v>
      </c>
      <c r="B15" s="85">
        <v>3.75</v>
      </c>
    </row>
    <row r="16" spans="1:2" x14ac:dyDescent="0.2">
      <c r="A16" s="95" t="s">
        <v>322</v>
      </c>
      <c r="B16" s="85">
        <v>157.5</v>
      </c>
    </row>
    <row r="17" spans="1:2" x14ac:dyDescent="0.2">
      <c r="A17" s="95" t="s">
        <v>323</v>
      </c>
      <c r="B17" s="85">
        <v>90</v>
      </c>
    </row>
    <row r="18" spans="1:2" x14ac:dyDescent="0.2">
      <c r="A18" s="84" t="s">
        <v>268</v>
      </c>
      <c r="B18" s="85">
        <v>15</v>
      </c>
    </row>
    <row r="19" spans="1:2" ht="18.75" customHeight="1" x14ac:dyDescent="0.2">
      <c r="A19" s="84" t="s">
        <v>267</v>
      </c>
      <c r="B19" s="85">
        <v>18</v>
      </c>
    </row>
    <row r="20" spans="1:2" x14ac:dyDescent="0.2">
      <c r="A20" s="84" t="s">
        <v>266</v>
      </c>
      <c r="B20" s="85">
        <v>18</v>
      </c>
    </row>
    <row r="21" spans="1:2" x14ac:dyDescent="0.2">
      <c r="A21" s="84" t="s">
        <v>265</v>
      </c>
      <c r="B21" s="85">
        <v>13.5</v>
      </c>
    </row>
    <row r="22" spans="1:2" x14ac:dyDescent="0.2">
      <c r="A22" s="84" t="s">
        <v>264</v>
      </c>
      <c r="B22" s="85">
        <v>0</v>
      </c>
    </row>
    <row r="23" spans="1:2" x14ac:dyDescent="0.2">
      <c r="A23" s="84" t="s">
        <v>263</v>
      </c>
      <c r="B23" s="85">
        <v>0</v>
      </c>
    </row>
    <row r="24" spans="1:2" x14ac:dyDescent="0.2">
      <c r="A24" s="84" t="s">
        <v>262</v>
      </c>
      <c r="B24" s="85">
        <v>45</v>
      </c>
    </row>
    <row r="25" spans="1:2" x14ac:dyDescent="0.2">
      <c r="A25" s="84" t="s">
        <v>261</v>
      </c>
      <c r="B25" s="85">
        <v>0</v>
      </c>
    </row>
    <row r="26" spans="1:2" x14ac:dyDescent="0.2">
      <c r="A26" s="84" t="s">
        <v>260</v>
      </c>
      <c r="B26" s="85">
        <v>0</v>
      </c>
    </row>
    <row r="27" spans="1:2" x14ac:dyDescent="0.2">
      <c r="A27" s="84" t="s">
        <v>259</v>
      </c>
      <c r="B27" s="85">
        <v>9</v>
      </c>
    </row>
    <row r="28" spans="1:2" x14ac:dyDescent="0.2">
      <c r="A28" s="84" t="s">
        <v>258</v>
      </c>
      <c r="B28" s="85">
        <v>0</v>
      </c>
    </row>
    <row r="29" spans="1:2" x14ac:dyDescent="0.2">
      <c r="A29" s="89" t="s">
        <v>257</v>
      </c>
      <c r="B29" s="88">
        <f>SUM(B14:B28)</f>
        <v>392.25</v>
      </c>
    </row>
    <row r="31" spans="1:2" x14ac:dyDescent="0.2">
      <c r="A31" s="89" t="s">
        <v>256</v>
      </c>
    </row>
    <row r="32" spans="1:2" x14ac:dyDescent="0.2">
      <c r="A32" s="84" t="s">
        <v>255</v>
      </c>
      <c r="B32" s="85">
        <v>0</v>
      </c>
    </row>
    <row r="33" spans="1:2" x14ac:dyDescent="0.2">
      <c r="A33" s="84" t="s">
        <v>254</v>
      </c>
      <c r="B33" s="85">
        <v>0</v>
      </c>
    </row>
    <row r="34" spans="1:2" x14ac:dyDescent="0.2">
      <c r="A34" s="84" t="s">
        <v>253</v>
      </c>
      <c r="B34" s="85">
        <v>0</v>
      </c>
    </row>
    <row r="35" spans="1:2" x14ac:dyDescent="0.2">
      <c r="A35" s="84" t="s">
        <v>252</v>
      </c>
      <c r="B35" s="85">
        <v>0</v>
      </c>
    </row>
    <row r="36" spans="1:2" x14ac:dyDescent="0.2">
      <c r="A36" s="84" t="s">
        <v>242</v>
      </c>
      <c r="B36" s="85">
        <v>0</v>
      </c>
    </row>
    <row r="37" spans="1:2" x14ac:dyDescent="0.2">
      <c r="A37" s="84" t="s">
        <v>241</v>
      </c>
      <c r="B37" s="85">
        <v>0</v>
      </c>
    </row>
    <row r="38" spans="1:2" x14ac:dyDescent="0.2">
      <c r="A38" s="84" t="s">
        <v>240</v>
      </c>
      <c r="B38" s="85">
        <v>0</v>
      </c>
    </row>
    <row r="39" spans="1:2" x14ac:dyDescent="0.2">
      <c r="A39" s="84" t="s">
        <v>239</v>
      </c>
      <c r="B39" s="85">
        <v>0</v>
      </c>
    </row>
    <row r="40" spans="1:2" x14ac:dyDescent="0.2">
      <c r="A40" s="84" t="s">
        <v>238</v>
      </c>
      <c r="B40" s="85">
        <v>0</v>
      </c>
    </row>
    <row r="41" spans="1:2" x14ac:dyDescent="0.2">
      <c r="A41" s="84" t="s">
        <v>237</v>
      </c>
      <c r="B41" s="85">
        <v>0</v>
      </c>
    </row>
    <row r="42" spans="1:2" x14ac:dyDescent="0.2">
      <c r="A42" s="84" t="s">
        <v>251</v>
      </c>
      <c r="B42" s="85">
        <v>0</v>
      </c>
    </row>
    <row r="43" spans="1:2" x14ac:dyDescent="0.2">
      <c r="A43" s="84" t="s">
        <v>250</v>
      </c>
      <c r="B43" s="85">
        <v>0</v>
      </c>
    </row>
    <row r="44" spans="1:2" x14ac:dyDescent="0.2">
      <c r="A44" s="84" t="s">
        <v>249</v>
      </c>
      <c r="B44" s="85">
        <v>0</v>
      </c>
    </row>
    <row r="45" spans="1:2" x14ac:dyDescent="0.2">
      <c r="A45" s="84" t="s">
        <v>248</v>
      </c>
      <c r="B45" s="85">
        <v>960</v>
      </c>
    </row>
    <row r="46" spans="1:2" x14ac:dyDescent="0.2">
      <c r="A46" s="84" t="s">
        <v>247</v>
      </c>
      <c r="B46" s="85">
        <v>0</v>
      </c>
    </row>
    <row r="47" spans="1:2" x14ac:dyDescent="0.2">
      <c r="A47" s="84" t="s">
        <v>246</v>
      </c>
      <c r="B47" s="85">
        <v>0</v>
      </c>
    </row>
    <row r="48" spans="1:2" x14ac:dyDescent="0.2">
      <c r="A48" s="84" t="s">
        <v>245</v>
      </c>
      <c r="B48" s="85">
        <v>147</v>
      </c>
    </row>
    <row r="49" spans="1:2" x14ac:dyDescent="0.2">
      <c r="A49" s="84" t="s">
        <v>244</v>
      </c>
      <c r="B49" s="85">
        <v>0</v>
      </c>
    </row>
    <row r="50" spans="1:2" x14ac:dyDescent="0.2">
      <c r="A50" s="84" t="s">
        <v>243</v>
      </c>
      <c r="B50" s="85">
        <v>0</v>
      </c>
    </row>
    <row r="51" spans="1:2" x14ac:dyDescent="0.2">
      <c r="A51" s="84" t="s">
        <v>242</v>
      </c>
      <c r="B51" s="85">
        <v>0</v>
      </c>
    </row>
    <row r="52" spans="1:2" x14ac:dyDescent="0.2">
      <c r="A52" s="84" t="s">
        <v>241</v>
      </c>
      <c r="B52" s="85">
        <v>0</v>
      </c>
    </row>
    <row r="53" spans="1:2" x14ac:dyDescent="0.2">
      <c r="A53" s="84" t="s">
        <v>240</v>
      </c>
      <c r="B53" s="85">
        <v>0</v>
      </c>
    </row>
    <row r="54" spans="1:2" x14ac:dyDescent="0.2">
      <c r="A54" s="84" t="s">
        <v>239</v>
      </c>
      <c r="B54" s="85">
        <v>0</v>
      </c>
    </row>
    <row r="55" spans="1:2" x14ac:dyDescent="0.2">
      <c r="A55" s="84" t="s">
        <v>238</v>
      </c>
      <c r="B55" s="85">
        <v>0</v>
      </c>
    </row>
    <row r="56" spans="1:2" x14ac:dyDescent="0.2">
      <c r="A56" s="84" t="s">
        <v>237</v>
      </c>
      <c r="B56" s="85">
        <v>0</v>
      </c>
    </row>
    <row r="57" spans="1:2" x14ac:dyDescent="0.2">
      <c r="A57" s="84" t="s">
        <v>236</v>
      </c>
      <c r="B57" s="85">
        <v>3</v>
      </c>
    </row>
    <row r="58" spans="1:2" x14ac:dyDescent="0.2">
      <c r="A58" s="84" t="s">
        <v>235</v>
      </c>
      <c r="B58" s="85">
        <v>168</v>
      </c>
    </row>
    <row r="59" spans="1:2" x14ac:dyDescent="0.2">
      <c r="A59" s="89" t="s">
        <v>234</v>
      </c>
      <c r="B59" s="88">
        <f>SUM(B32:B58)</f>
        <v>1278</v>
      </c>
    </row>
    <row r="60" spans="1:2" x14ac:dyDescent="0.2">
      <c r="B60" s="88"/>
    </row>
    <row r="61" spans="1:2" x14ac:dyDescent="0.2">
      <c r="A61" s="89" t="s">
        <v>233</v>
      </c>
    </row>
    <row r="62" spans="1:2" x14ac:dyDescent="0.2">
      <c r="A62" s="95" t="s">
        <v>324</v>
      </c>
      <c r="B62" s="85">
        <v>120</v>
      </c>
    </row>
    <row r="63" spans="1:2" x14ac:dyDescent="0.2">
      <c r="A63" s="95" t="s">
        <v>325</v>
      </c>
      <c r="B63" s="85">
        <v>0</v>
      </c>
    </row>
    <row r="64" spans="1:2" x14ac:dyDescent="0.2">
      <c r="A64" s="95" t="s">
        <v>326</v>
      </c>
      <c r="B64" s="85">
        <v>45</v>
      </c>
    </row>
    <row r="65" spans="1:2" x14ac:dyDescent="0.2">
      <c r="A65" s="95" t="s">
        <v>327</v>
      </c>
      <c r="B65" s="85">
        <v>60</v>
      </c>
    </row>
    <row r="66" spans="1:2" x14ac:dyDescent="0.2">
      <c r="A66" s="89" t="s">
        <v>232</v>
      </c>
      <c r="B66" s="88">
        <f>SUM(B62:B65)</f>
        <v>225</v>
      </c>
    </row>
    <row r="68" spans="1:2" x14ac:dyDescent="0.2">
      <c r="A68" s="89" t="s">
        <v>231</v>
      </c>
    </row>
    <row r="69" spans="1:2" x14ac:dyDescent="0.2">
      <c r="A69" s="84" t="s">
        <v>230</v>
      </c>
      <c r="B69" s="85">
        <v>60</v>
      </c>
    </row>
    <row r="70" spans="1:2" x14ac:dyDescent="0.2">
      <c r="A70" s="84" t="s">
        <v>229</v>
      </c>
      <c r="B70" s="85">
        <v>0</v>
      </c>
    </row>
    <row r="71" spans="1:2" x14ac:dyDescent="0.2">
      <c r="A71" s="84" t="s">
        <v>228</v>
      </c>
      <c r="B71" s="85">
        <v>0</v>
      </c>
    </row>
    <row r="72" spans="1:2" x14ac:dyDescent="0.2">
      <c r="A72" s="84" t="s">
        <v>227</v>
      </c>
      <c r="B72" s="85">
        <v>0</v>
      </c>
    </row>
    <row r="73" spans="1:2" x14ac:dyDescent="0.2">
      <c r="A73" s="84" t="s">
        <v>226</v>
      </c>
      <c r="B73" s="85">
        <v>60</v>
      </c>
    </row>
    <row r="74" spans="1:2" x14ac:dyDescent="0.2">
      <c r="A74" s="84" t="s">
        <v>225</v>
      </c>
      <c r="B74" s="85">
        <v>0</v>
      </c>
    </row>
    <row r="75" spans="1:2" x14ac:dyDescent="0.2">
      <c r="A75" s="84" t="s">
        <v>224</v>
      </c>
      <c r="B75" s="85">
        <v>0</v>
      </c>
    </row>
    <row r="76" spans="1:2" x14ac:dyDescent="0.2">
      <c r="A76" s="84" t="s">
        <v>223</v>
      </c>
      <c r="B76" s="85">
        <v>0</v>
      </c>
    </row>
    <row r="77" spans="1:2" x14ac:dyDescent="0.2">
      <c r="A77" s="84" t="s">
        <v>222</v>
      </c>
      <c r="B77" s="85">
        <v>135</v>
      </c>
    </row>
    <row r="78" spans="1:2" x14ac:dyDescent="0.2">
      <c r="A78" s="84" t="s">
        <v>221</v>
      </c>
      <c r="B78" s="85">
        <v>0</v>
      </c>
    </row>
    <row r="79" spans="1:2" x14ac:dyDescent="0.2">
      <c r="A79" s="84" t="s">
        <v>220</v>
      </c>
      <c r="B79" s="85">
        <v>0</v>
      </c>
    </row>
    <row r="80" spans="1:2" x14ac:dyDescent="0.2">
      <c r="A80" s="84" t="s">
        <v>219</v>
      </c>
      <c r="B80" s="85">
        <v>0</v>
      </c>
    </row>
    <row r="81" spans="1:2" x14ac:dyDescent="0.2">
      <c r="A81" s="84" t="s">
        <v>218</v>
      </c>
      <c r="B81" s="85">
        <v>150</v>
      </c>
    </row>
    <row r="82" spans="1:2" x14ac:dyDescent="0.2">
      <c r="A82" s="84" t="s">
        <v>217</v>
      </c>
      <c r="B82" s="85">
        <v>37.5</v>
      </c>
    </row>
    <row r="83" spans="1:2" x14ac:dyDescent="0.2">
      <c r="A83" s="84" t="s">
        <v>216</v>
      </c>
      <c r="B83" s="85">
        <v>0</v>
      </c>
    </row>
    <row r="84" spans="1:2" x14ac:dyDescent="0.2">
      <c r="A84" s="89" t="s">
        <v>215</v>
      </c>
      <c r="B84" s="88">
        <f>SUM(B69:B83)</f>
        <v>442.5</v>
      </c>
    </row>
    <row r="86" spans="1:2" x14ac:dyDescent="0.2">
      <c r="A86" s="89" t="s">
        <v>214</v>
      </c>
    </row>
    <row r="87" spans="1:2" x14ac:dyDescent="0.2">
      <c r="A87" s="84" t="s">
        <v>213</v>
      </c>
      <c r="B87" s="85">
        <v>27</v>
      </c>
    </row>
    <row r="88" spans="1:2" x14ac:dyDescent="0.2">
      <c r="A88" s="84" t="s">
        <v>212</v>
      </c>
      <c r="B88" s="85">
        <v>7.88</v>
      </c>
    </row>
    <row r="89" spans="1:2" x14ac:dyDescent="0.2">
      <c r="A89" s="84" t="s">
        <v>211</v>
      </c>
      <c r="B89" s="85">
        <v>6.75</v>
      </c>
    </row>
    <row r="90" spans="1:2" x14ac:dyDescent="0.2">
      <c r="A90" s="84" t="s">
        <v>210</v>
      </c>
      <c r="B90" s="85">
        <v>3</v>
      </c>
    </row>
    <row r="91" spans="1:2" x14ac:dyDescent="0.2">
      <c r="A91" s="84" t="s">
        <v>209</v>
      </c>
      <c r="B91" s="85">
        <v>4.5</v>
      </c>
    </row>
    <row r="92" spans="1:2" x14ac:dyDescent="0.2">
      <c r="A92" s="84" t="s">
        <v>208</v>
      </c>
      <c r="B92" s="85">
        <v>22.5</v>
      </c>
    </row>
    <row r="93" spans="1:2" x14ac:dyDescent="0.2">
      <c r="A93" s="89" t="s">
        <v>207</v>
      </c>
      <c r="B93" s="88">
        <f>SUM(B87:B92)</f>
        <v>71.63</v>
      </c>
    </row>
    <row r="95" spans="1:2" x14ac:dyDescent="0.2">
      <c r="A95" s="89" t="s">
        <v>206</v>
      </c>
    </row>
    <row r="96" spans="1:2" x14ac:dyDescent="0.2">
      <c r="A96" s="84" t="s">
        <v>205</v>
      </c>
      <c r="B96" s="85">
        <v>6.75</v>
      </c>
    </row>
    <row r="97" spans="1:2" x14ac:dyDescent="0.2">
      <c r="A97" s="84" t="s">
        <v>204</v>
      </c>
      <c r="B97" s="85">
        <v>12</v>
      </c>
    </row>
    <row r="98" spans="1:2" x14ac:dyDescent="0.2">
      <c r="A98" s="84" t="s">
        <v>203</v>
      </c>
      <c r="B98" s="85">
        <v>9</v>
      </c>
    </row>
    <row r="99" spans="1:2" x14ac:dyDescent="0.2">
      <c r="A99" s="84" t="s">
        <v>202</v>
      </c>
      <c r="B99" s="85">
        <v>3</v>
      </c>
    </row>
    <row r="100" spans="1:2" x14ac:dyDescent="0.2">
      <c r="A100" s="84" t="s">
        <v>201</v>
      </c>
      <c r="B100" s="88">
        <f>SUM(B96:B99)</f>
        <v>30.75</v>
      </c>
    </row>
    <row r="102" spans="1:2" s="89" customFormat="1" x14ac:dyDescent="0.2">
      <c r="A102" s="89" t="s">
        <v>200</v>
      </c>
      <c r="B102" s="88"/>
    </row>
    <row r="103" spans="1:2" x14ac:dyDescent="0.2">
      <c r="A103" s="84" t="s">
        <v>199</v>
      </c>
      <c r="B103" s="85">
        <v>9</v>
      </c>
    </row>
    <row r="104" spans="1:2" x14ac:dyDescent="0.2">
      <c r="A104" s="89" t="s">
        <v>198</v>
      </c>
      <c r="B104" s="88">
        <f>B103</f>
        <v>9</v>
      </c>
    </row>
    <row r="106" spans="1:2" s="89" customFormat="1" x14ac:dyDescent="0.2">
      <c r="A106" s="89" t="s">
        <v>197</v>
      </c>
      <c r="B106" s="88"/>
    </row>
    <row r="107" spans="1:2" x14ac:dyDescent="0.2">
      <c r="A107" s="84" t="s">
        <v>196</v>
      </c>
      <c r="B107" s="85">
        <v>18</v>
      </c>
    </row>
    <row r="108" spans="1:2" x14ac:dyDescent="0.2">
      <c r="A108" s="84" t="s">
        <v>195</v>
      </c>
      <c r="B108" s="85">
        <v>10.8</v>
      </c>
    </row>
    <row r="109" spans="1:2" x14ac:dyDescent="0.2">
      <c r="A109" s="84" t="s">
        <v>194</v>
      </c>
      <c r="B109" s="88">
        <f>SUM(B107:B108)</f>
        <v>28.8</v>
      </c>
    </row>
    <row r="111" spans="1:2" s="89" customFormat="1" x14ac:dyDescent="0.2">
      <c r="A111" s="89" t="s">
        <v>193</v>
      </c>
      <c r="B111" s="88"/>
    </row>
    <row r="112" spans="1:2" x14ac:dyDescent="0.2">
      <c r="A112" s="95" t="s">
        <v>328</v>
      </c>
      <c r="B112" s="90">
        <v>33</v>
      </c>
    </row>
    <row r="113" spans="1:2" x14ac:dyDescent="0.2">
      <c r="A113" s="89" t="s">
        <v>192</v>
      </c>
      <c r="B113" s="88">
        <f>B112</f>
        <v>33</v>
      </c>
    </row>
    <row r="114" spans="1:2" x14ac:dyDescent="0.2">
      <c r="A114" s="89"/>
      <c r="B114" s="88"/>
    </row>
    <row r="115" spans="1:2" x14ac:dyDescent="0.2">
      <c r="A115" s="89" t="s">
        <v>9</v>
      </c>
    </row>
    <row r="116" spans="1:2" x14ac:dyDescent="0.2">
      <c r="A116" s="84" t="s">
        <v>191</v>
      </c>
      <c r="B116" s="85">
        <v>75</v>
      </c>
    </row>
    <row r="117" spans="1:2" x14ac:dyDescent="0.2">
      <c r="A117" s="84" t="s">
        <v>191</v>
      </c>
      <c r="B117" s="85">
        <v>75</v>
      </c>
    </row>
    <row r="118" spans="1:2" x14ac:dyDescent="0.2">
      <c r="A118" s="89" t="s">
        <v>190</v>
      </c>
      <c r="B118" s="88">
        <f>SUM(B116:B117)</f>
        <v>150</v>
      </c>
    </row>
    <row r="120" spans="1:2" x14ac:dyDescent="0.2">
      <c r="A120" s="87" t="s">
        <v>7</v>
      </c>
    </row>
    <row r="121" spans="1:2" x14ac:dyDescent="0.2">
      <c r="A121" s="84" t="str">
        <f>A8</f>
        <v>Desks total</v>
      </c>
      <c r="B121" s="85">
        <f>B8</f>
        <v>712.5</v>
      </c>
    </row>
    <row r="122" spans="1:2" x14ac:dyDescent="0.2">
      <c r="A122" s="95" t="s">
        <v>320</v>
      </c>
      <c r="B122" s="85">
        <f>B11</f>
        <v>37.5</v>
      </c>
    </row>
    <row r="123" spans="1:2" x14ac:dyDescent="0.2">
      <c r="A123" s="84" t="str">
        <f>A29</f>
        <v>Microphones &amp; DIs Total</v>
      </c>
      <c r="B123" s="85">
        <f>B29</f>
        <v>392.25</v>
      </c>
    </row>
    <row r="124" spans="1:2" x14ac:dyDescent="0.2">
      <c r="A124" s="84" t="str">
        <f>A59</f>
        <v>Radio Mics Total</v>
      </c>
      <c r="B124" s="85">
        <f>B59</f>
        <v>1278</v>
      </c>
    </row>
    <row r="125" spans="1:2" x14ac:dyDescent="0.2">
      <c r="A125" s="84" t="str">
        <f>A66</f>
        <v>Amplifiers Total</v>
      </c>
      <c r="B125" s="85">
        <f>B66</f>
        <v>225</v>
      </c>
    </row>
    <row r="126" spans="1:2" x14ac:dyDescent="0.2">
      <c r="A126" s="84" t="str">
        <f>A84</f>
        <v>Speakers &amp; Monitoring Total</v>
      </c>
      <c r="B126" s="85">
        <f>B84</f>
        <v>442.5</v>
      </c>
    </row>
    <row r="127" spans="1:2" x14ac:dyDescent="0.2">
      <c r="A127" s="84" t="str">
        <f>A93</f>
        <v>Sound Signal Cable Total</v>
      </c>
      <c r="B127" s="85">
        <f>B93</f>
        <v>71.63</v>
      </c>
    </row>
    <row r="128" spans="1:2" x14ac:dyDescent="0.2">
      <c r="A128" s="84" t="str">
        <f>A100</f>
        <v xml:space="preserve">Speaker Cable Total </v>
      </c>
      <c r="B128" s="85">
        <f>B100</f>
        <v>30.75</v>
      </c>
    </row>
    <row r="129" spans="1:2" x14ac:dyDescent="0.2">
      <c r="A129" s="84" t="str">
        <f>A104</f>
        <v>Data Cable Total</v>
      </c>
      <c r="B129" s="85">
        <f>B104</f>
        <v>9</v>
      </c>
    </row>
    <row r="130" spans="1:2" x14ac:dyDescent="0.2">
      <c r="A130" s="84" t="str">
        <f>A109</f>
        <v>Mains Cable Total</v>
      </c>
      <c r="B130" s="85">
        <f>B109</f>
        <v>28.8</v>
      </c>
    </row>
    <row r="131" spans="1:2" x14ac:dyDescent="0.2">
      <c r="A131" s="84" t="str">
        <f>A113</f>
        <v>Sales Total</v>
      </c>
      <c r="B131" s="85">
        <f>B113</f>
        <v>33</v>
      </c>
    </row>
    <row r="132" spans="1:2" x14ac:dyDescent="0.2">
      <c r="A132" s="84" t="str">
        <f>A118</f>
        <v>Transport Total</v>
      </c>
      <c r="B132" s="85">
        <f>B118</f>
        <v>150</v>
      </c>
    </row>
    <row r="133" spans="1:2" x14ac:dyDescent="0.2">
      <c r="B133" s="85">
        <f>SUM(B121:B132)</f>
        <v>3410.9300000000003</v>
      </c>
    </row>
    <row r="134" spans="1:2" x14ac:dyDescent="0.2">
      <c r="A134" s="84" t="s">
        <v>184</v>
      </c>
      <c r="B134" s="85">
        <f>B133*0.2</f>
        <v>682.18600000000015</v>
      </c>
    </row>
    <row r="135" spans="1:2" x14ac:dyDescent="0.2">
      <c r="A135" s="84" t="s">
        <v>189</v>
      </c>
      <c r="B135" s="88">
        <f>B134+B133</f>
        <v>4093.1160000000004</v>
      </c>
    </row>
    <row r="137" spans="1:2" x14ac:dyDescent="0.2">
      <c r="A137" s="84" t="s">
        <v>188</v>
      </c>
      <c r="B137" s="85">
        <f>B133-300</f>
        <v>3110.9300000000003</v>
      </c>
    </row>
    <row r="138" spans="1:2" x14ac:dyDescent="0.2">
      <c r="A138" s="84" t="s">
        <v>184</v>
      </c>
      <c r="B138" s="85">
        <f>B137*0.2</f>
        <v>622.18600000000015</v>
      </c>
    </row>
    <row r="139" spans="1:2" x14ac:dyDescent="0.2">
      <c r="A139" s="84" t="s">
        <v>7</v>
      </c>
      <c r="B139" s="85">
        <f>B138+B137</f>
        <v>3733.1160000000004</v>
      </c>
    </row>
    <row r="141" spans="1:2" x14ac:dyDescent="0.2">
      <c r="A141" s="84" t="s">
        <v>187</v>
      </c>
      <c r="B141" s="85">
        <f>B6</f>
        <v>300</v>
      </c>
    </row>
    <row r="142" spans="1:2" x14ac:dyDescent="0.2">
      <c r="A142" s="84" t="s">
        <v>184</v>
      </c>
      <c r="B142" s="85">
        <f>B141*0.2</f>
        <v>60</v>
      </c>
    </row>
    <row r="143" spans="1:2" x14ac:dyDescent="0.2">
      <c r="A143" s="84" t="s">
        <v>7</v>
      </c>
      <c r="B143" s="85">
        <f>B142+B141</f>
        <v>360</v>
      </c>
    </row>
    <row r="145" spans="1:4" x14ac:dyDescent="0.2">
      <c r="A145" s="84" t="s">
        <v>181</v>
      </c>
      <c r="B145" s="85">
        <f>B143+B139</f>
        <v>4093.1160000000004</v>
      </c>
    </row>
    <row r="147" spans="1:4" x14ac:dyDescent="0.2">
      <c r="C147" s="84" t="s">
        <v>186</v>
      </c>
      <c r="D147" s="84" t="s">
        <v>185</v>
      </c>
    </row>
    <row r="148" spans="1:4" x14ac:dyDescent="0.2">
      <c r="A148" s="84" t="str">
        <f>A137</f>
        <v xml:space="preserve">Total excluding Rio3224D Dante </v>
      </c>
      <c r="B148" s="85">
        <f>B137</f>
        <v>3110.9300000000003</v>
      </c>
      <c r="C148" s="85">
        <f>0.5*B148</f>
        <v>1555.4650000000001</v>
      </c>
      <c r="D148" s="85">
        <f>C148</f>
        <v>1555.4650000000001</v>
      </c>
    </row>
    <row r="149" spans="1:4" x14ac:dyDescent="0.2">
      <c r="A149" s="84" t="s">
        <v>184</v>
      </c>
      <c r="B149" s="85">
        <f>B138</f>
        <v>622.18600000000015</v>
      </c>
      <c r="C149" s="85">
        <f>0.5*B149</f>
        <v>311.09300000000007</v>
      </c>
      <c r="D149" s="85">
        <f>C149</f>
        <v>311.09300000000007</v>
      </c>
    </row>
    <row r="150" spans="1:4" x14ac:dyDescent="0.2">
      <c r="A150" s="84" t="str">
        <f>A141</f>
        <v>Rio3224D Dante</v>
      </c>
      <c r="B150" s="85">
        <f>B141</f>
        <v>300</v>
      </c>
      <c r="C150" s="85">
        <f>B150</f>
        <v>300</v>
      </c>
    </row>
    <row r="151" spans="1:4" x14ac:dyDescent="0.2">
      <c r="A151" s="84" t="str">
        <f>A142</f>
        <v>VAT</v>
      </c>
      <c r="B151" s="85">
        <f>B142</f>
        <v>60</v>
      </c>
      <c r="C151" s="85">
        <f>B151</f>
        <v>60</v>
      </c>
    </row>
    <row r="152" spans="1:4" x14ac:dyDescent="0.2">
      <c r="A152" s="84" t="s">
        <v>183</v>
      </c>
      <c r="B152" s="85">
        <f>SUM(B148:B151)</f>
        <v>4093.1160000000004</v>
      </c>
      <c r="C152" s="85">
        <f>SUM(C148:C151)</f>
        <v>2226.558</v>
      </c>
      <c r="D152" s="85">
        <f>SUM(D148:D151)</f>
        <v>1866.5580000000002</v>
      </c>
    </row>
    <row r="153" spans="1:4" ht="4.5" customHeight="1" x14ac:dyDescent="0.2"/>
    <row r="154" spans="1:4" x14ac:dyDescent="0.2">
      <c r="A154" s="84" t="s">
        <v>182</v>
      </c>
      <c r="B154" s="85">
        <v>200</v>
      </c>
      <c r="C154" s="85">
        <f>B154*0.5</f>
        <v>100</v>
      </c>
      <c r="D154" s="85">
        <f>C154</f>
        <v>100</v>
      </c>
    </row>
    <row r="155" spans="1:4" ht="4.5" customHeight="1" x14ac:dyDescent="0.2"/>
    <row r="156" spans="1:4" x14ac:dyDescent="0.2">
      <c r="A156" s="84" t="s">
        <v>181</v>
      </c>
      <c r="B156" s="85">
        <f>B152+B154</f>
        <v>4293.116</v>
      </c>
      <c r="C156" s="85">
        <f>C152+C154</f>
        <v>2326.558</v>
      </c>
      <c r="D156" s="85">
        <f>D152+D154</f>
        <v>1966.5580000000002</v>
      </c>
    </row>
    <row r="158" spans="1:4" x14ac:dyDescent="0.2">
      <c r="A158" s="97" t="s">
        <v>330</v>
      </c>
      <c r="C158" s="85">
        <f>C154</f>
        <v>100</v>
      </c>
    </row>
    <row r="159" spans="1:4" x14ac:dyDescent="0.2">
      <c r="A159" s="86" t="s">
        <v>180</v>
      </c>
      <c r="C159" s="85">
        <f>C156-C158</f>
        <v>2226.558</v>
      </c>
    </row>
  </sheetData>
  <pageMargins left="0.7" right="0.7" top="0.75" bottom="0.75" header="0.3" footer="0.3"/>
  <pageSetup paperSize="9"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I12"/>
  <sheetViews>
    <sheetView workbookViewId="0">
      <selection activeCell="K1" sqref="K1:K1048576"/>
    </sheetView>
  </sheetViews>
  <sheetFormatPr baseColWidth="10" defaultColWidth="8.83203125" defaultRowHeight="13" x14ac:dyDescent="0.15"/>
  <cols>
    <col min="3" max="4" width="10.83203125" customWidth="1"/>
    <col min="5" max="8" width="11.5" bestFit="1" customWidth="1"/>
    <col min="9" max="9" width="14.1640625" customWidth="1"/>
  </cols>
  <sheetData>
    <row r="1" spans="2:9" x14ac:dyDescent="0.15">
      <c r="E1" s="53">
        <v>0.75</v>
      </c>
      <c r="F1" s="53">
        <v>0.8</v>
      </c>
      <c r="G1" s="53">
        <v>0.9</v>
      </c>
      <c r="H1" s="53">
        <v>0.95</v>
      </c>
      <c r="I1" s="54" t="s">
        <v>94</v>
      </c>
    </row>
    <row r="2" spans="2:9" x14ac:dyDescent="0.15">
      <c r="B2" t="s">
        <v>88</v>
      </c>
      <c r="D2" t="s">
        <v>90</v>
      </c>
      <c r="E2" s="52" t="e">
        <f>#REF!</f>
        <v>#REF!</v>
      </c>
      <c r="F2" s="52">
        <f>'Ticket Income_Budget'!L8</f>
        <v>10569.6</v>
      </c>
      <c r="G2" s="52">
        <f>'Ticket Income_Budget'!M8</f>
        <v>11890.800000000001</v>
      </c>
      <c r="H2" s="52">
        <f>'Ticket Income_Budget'!N8</f>
        <v>12551.4</v>
      </c>
      <c r="I2" s="52">
        <f>'Ticket Income_Budget'!O8</f>
        <v>13212</v>
      </c>
    </row>
    <row r="3" spans="2:9" x14ac:dyDescent="0.15">
      <c r="D3" t="s">
        <v>91</v>
      </c>
      <c r="E3" s="52" t="e">
        <f>SUM(#REF!)</f>
        <v>#REF!</v>
      </c>
      <c r="F3" s="52" t="e">
        <f>E3</f>
        <v>#REF!</v>
      </c>
      <c r="G3" s="52" t="e">
        <f>F3</f>
        <v>#REF!</v>
      </c>
      <c r="H3" s="52" t="e">
        <f>G3</f>
        <v>#REF!</v>
      </c>
      <c r="I3" s="52" t="e">
        <f>H3</f>
        <v>#REF!</v>
      </c>
    </row>
    <row r="4" spans="2:9" x14ac:dyDescent="0.15">
      <c r="E4" s="52" t="e">
        <f>SUM(E2:E3)</f>
        <v>#REF!</v>
      </c>
      <c r="F4" s="52" t="e">
        <f>SUM(F2:F3)</f>
        <v>#REF!</v>
      </c>
      <c r="G4" s="52" t="e">
        <f>SUM(G2:G3)</f>
        <v>#REF!</v>
      </c>
      <c r="H4" s="52" t="e">
        <f>SUM(H2:H3)</f>
        <v>#REF!</v>
      </c>
      <c r="I4" s="52" t="e">
        <f>SUM(I2:I3)</f>
        <v>#REF!</v>
      </c>
    </row>
    <row r="6" spans="2:9" x14ac:dyDescent="0.15">
      <c r="B6" t="s">
        <v>89</v>
      </c>
      <c r="D6" t="s">
        <v>92</v>
      </c>
      <c r="E6" s="52" t="e">
        <f>#REF!</f>
        <v>#REF!</v>
      </c>
      <c r="F6" s="52">
        <f>'Ticket Income_Budget'!L11</f>
        <v>1902.528</v>
      </c>
      <c r="G6" s="52">
        <f>'Ticket Income_Budget'!M11</f>
        <v>2140.3440000000001</v>
      </c>
      <c r="H6" s="52">
        <f>'Ticket Income_Budget'!N11</f>
        <v>2259.2519999999995</v>
      </c>
      <c r="I6" s="52">
        <f>'Ticket Income_Budget'!O11</f>
        <v>2378.16</v>
      </c>
    </row>
    <row r="7" spans="2:9" x14ac:dyDescent="0.15">
      <c r="D7" t="s">
        <v>91</v>
      </c>
      <c r="E7" s="52" t="e">
        <f>SUM(#REF!,#REF!,#REF!)</f>
        <v>#REF!</v>
      </c>
      <c r="F7" s="52" t="e">
        <f>E7</f>
        <v>#REF!</v>
      </c>
      <c r="G7" s="52" t="e">
        <f>F7</f>
        <v>#REF!</v>
      </c>
      <c r="H7" s="52" t="e">
        <f>G7</f>
        <v>#REF!</v>
      </c>
      <c r="I7" s="52" t="e">
        <f>H7</f>
        <v>#REF!</v>
      </c>
    </row>
    <row r="8" spans="2:9" x14ac:dyDescent="0.15">
      <c r="E8" s="52" t="e">
        <f>E7+E6</f>
        <v>#REF!</v>
      </c>
      <c r="F8" s="52" t="e">
        <f>F7+F6</f>
        <v>#REF!</v>
      </c>
      <c r="G8" s="52" t="e">
        <f>G7+G6</f>
        <v>#REF!</v>
      </c>
      <c r="H8" s="52" t="e">
        <f>H7+H6</f>
        <v>#REF!</v>
      </c>
      <c r="I8" s="52" t="e">
        <f>I7+I6</f>
        <v>#REF!</v>
      </c>
    </row>
    <row r="10" spans="2:9" x14ac:dyDescent="0.15">
      <c r="B10" t="s">
        <v>93</v>
      </c>
      <c r="E10" s="52" t="e">
        <f>E4-E8</f>
        <v>#REF!</v>
      </c>
      <c r="F10" s="52" t="e">
        <f>F4-F8</f>
        <v>#REF!</v>
      </c>
      <c r="G10" s="52" t="e">
        <f>G4-G8</f>
        <v>#REF!</v>
      </c>
      <c r="H10" s="52" t="e">
        <f>H4-H8</f>
        <v>#REF!</v>
      </c>
      <c r="I10" s="52" t="e">
        <f>I4-I8</f>
        <v>#REF!</v>
      </c>
    </row>
    <row r="12" spans="2:9" x14ac:dyDescent="0.15">
      <c r="B12" t="s">
        <v>60</v>
      </c>
      <c r="E12" s="52" t="e">
        <f>E10+#REF!</f>
        <v>#REF!</v>
      </c>
      <c r="F12" s="52" t="e">
        <f>F10+#REF!</f>
        <v>#REF!</v>
      </c>
      <c r="G12" s="52" t="e">
        <f>G10+#REF!</f>
        <v>#REF!</v>
      </c>
      <c r="H12" s="52" t="e">
        <f>H10+#REF!</f>
        <v>#REF!</v>
      </c>
      <c r="I12" s="52" t="e">
        <f>I10+#REF!</f>
        <v>#REF!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6"/>
  <sheetViews>
    <sheetView workbookViewId="0"/>
  </sheetViews>
  <sheetFormatPr baseColWidth="10" defaultColWidth="8.83203125" defaultRowHeight="13" x14ac:dyDescent="0.15"/>
  <cols>
    <col min="1" max="1" width="22.33203125" bestFit="1" customWidth="1"/>
    <col min="2" max="2" width="26.6640625" bestFit="1" customWidth="1"/>
    <col min="3" max="3" width="11.5" bestFit="1" customWidth="1"/>
    <col min="4" max="4" width="18.6640625" bestFit="1" customWidth="1"/>
    <col min="5" max="5" width="12.83203125" customWidth="1"/>
    <col min="7" max="7" width="19.33203125" customWidth="1"/>
    <col min="8" max="8" width="14" bestFit="1" customWidth="1"/>
    <col min="9" max="9" width="15" bestFit="1" customWidth="1"/>
    <col min="10" max="10" width="11.1640625" customWidth="1"/>
    <col min="11" max="11" width="18.33203125" bestFit="1" customWidth="1"/>
  </cols>
  <sheetData>
    <row r="2" spans="1:12" x14ac:dyDescent="0.15">
      <c r="A2" s="51" t="s">
        <v>296</v>
      </c>
      <c r="B2" s="51"/>
      <c r="C2" s="51"/>
      <c r="D2" s="51"/>
      <c r="E2" s="51"/>
      <c r="H2" s="51" t="s">
        <v>297</v>
      </c>
      <c r="I2" s="51"/>
      <c r="J2" s="51"/>
      <c r="K2" s="51"/>
      <c r="L2" s="51"/>
    </row>
    <row r="3" spans="1:12" x14ac:dyDescent="0.15">
      <c r="C3" s="5" t="e">
        <f>SUBTOTAL(9,C5:C21)</f>
        <v>#REF!</v>
      </c>
      <c r="J3" s="5" t="e">
        <f>SUBTOTAL(9,J5:J28)</f>
        <v>#REF!</v>
      </c>
    </row>
    <row r="4" spans="1:12" x14ac:dyDescent="0.15">
      <c r="A4" s="69" t="s">
        <v>288</v>
      </c>
      <c r="B4" s="69" t="s">
        <v>289</v>
      </c>
      <c r="C4" s="69" t="s">
        <v>85</v>
      </c>
      <c r="D4" s="69" t="s">
        <v>82</v>
      </c>
      <c r="H4" s="69" t="s">
        <v>288</v>
      </c>
      <c r="I4" s="69" t="s">
        <v>289</v>
      </c>
      <c r="J4" s="69" t="s">
        <v>85</v>
      </c>
      <c r="K4" s="69" t="s">
        <v>82</v>
      </c>
    </row>
    <row r="5" spans="1:12" x14ac:dyDescent="0.15">
      <c r="A5" s="69" t="s">
        <v>83</v>
      </c>
      <c r="B5" s="69" t="s">
        <v>87</v>
      </c>
      <c r="C5" s="93" t="e">
        <f>#REF!+#REF!</f>
        <v>#REF!</v>
      </c>
      <c r="D5" s="94" t="s">
        <v>300</v>
      </c>
      <c r="H5" s="69" t="s">
        <v>302</v>
      </c>
      <c r="I5" s="69" t="s">
        <v>303</v>
      </c>
      <c r="J5" s="5" t="e">
        <f>#REF!</f>
        <v>#REF!</v>
      </c>
      <c r="K5" s="94" t="s">
        <v>281</v>
      </c>
    </row>
    <row r="6" spans="1:12" x14ac:dyDescent="0.15">
      <c r="A6" s="69" t="s">
        <v>299</v>
      </c>
      <c r="B6" s="69" t="s">
        <v>6</v>
      </c>
      <c r="C6" s="93" t="e">
        <f>#REF!</f>
        <v>#REF!</v>
      </c>
      <c r="D6" s="94" t="s">
        <v>300</v>
      </c>
      <c r="H6" s="69" t="s">
        <v>302</v>
      </c>
      <c r="I6" s="69" t="s">
        <v>8</v>
      </c>
      <c r="J6" s="93" t="e">
        <f>#REF!+#REF!+#REF!+#REF!+#REF!+#REF!+#REF!+#REF!+#REF!</f>
        <v>#REF!</v>
      </c>
      <c r="K6" s="94" t="s">
        <v>281</v>
      </c>
    </row>
    <row r="7" spans="1:12" x14ac:dyDescent="0.15">
      <c r="A7" s="69" t="s">
        <v>301</v>
      </c>
      <c r="B7" s="69" t="s">
        <v>6</v>
      </c>
      <c r="C7" s="93" t="e">
        <f>#REF!</f>
        <v>#REF!</v>
      </c>
      <c r="D7" s="94" t="s">
        <v>300</v>
      </c>
      <c r="H7" s="69" t="s">
        <v>302</v>
      </c>
      <c r="I7" s="69" t="s">
        <v>5</v>
      </c>
      <c r="J7" s="5" t="e">
        <f>#REF!+#REF!+#REF!+#REF!+#REF!+#REF!+#REF!+#REF!+#REF!+#REF!</f>
        <v>#REF!</v>
      </c>
      <c r="K7" s="94" t="s">
        <v>281</v>
      </c>
    </row>
    <row r="8" spans="1:12" x14ac:dyDescent="0.15">
      <c r="A8" s="69" t="s">
        <v>179</v>
      </c>
      <c r="B8" s="69" t="s">
        <v>309</v>
      </c>
      <c r="C8" s="93" t="e">
        <f>#REF!</f>
        <v>#REF!</v>
      </c>
      <c r="D8" s="94" t="s">
        <v>300</v>
      </c>
      <c r="H8" s="69" t="s">
        <v>302</v>
      </c>
      <c r="I8" s="69" t="s">
        <v>306</v>
      </c>
      <c r="J8" s="5" t="e">
        <f>#REF!</f>
        <v>#REF!</v>
      </c>
      <c r="K8" s="94" t="s">
        <v>281</v>
      </c>
    </row>
    <row r="9" spans="1:12" x14ac:dyDescent="0.15">
      <c r="A9" s="69" t="s">
        <v>290</v>
      </c>
      <c r="B9" s="69" t="s">
        <v>0</v>
      </c>
      <c r="C9" s="93" t="e">
        <f>#REF!+#REF!</f>
        <v>#REF!</v>
      </c>
      <c r="D9" s="94" t="s">
        <v>300</v>
      </c>
      <c r="E9" s="69"/>
      <c r="H9" s="69" t="s">
        <v>302</v>
      </c>
      <c r="I9" s="69" t="s">
        <v>312</v>
      </c>
      <c r="J9" s="5" t="e">
        <f>#REF!</f>
        <v>#REF!</v>
      </c>
      <c r="K9" s="94" t="s">
        <v>281</v>
      </c>
    </row>
    <row r="10" spans="1:12" x14ac:dyDescent="0.15">
      <c r="A10" s="69" t="s">
        <v>291</v>
      </c>
      <c r="B10" s="69" t="s">
        <v>292</v>
      </c>
      <c r="C10" s="93">
        <v>447.36</v>
      </c>
      <c r="D10" s="94" t="s">
        <v>300</v>
      </c>
      <c r="E10" s="69"/>
      <c r="H10" s="69" t="s">
        <v>302</v>
      </c>
      <c r="I10" s="69" t="s">
        <v>317</v>
      </c>
      <c r="J10" s="5" t="e">
        <f>#REF!</f>
        <v>#REF!</v>
      </c>
      <c r="K10" s="94" t="s">
        <v>281</v>
      </c>
    </row>
    <row r="11" spans="1:12" x14ac:dyDescent="0.15">
      <c r="A11" s="69" t="s">
        <v>293</v>
      </c>
      <c r="B11" s="69" t="s">
        <v>294</v>
      </c>
      <c r="C11" s="93">
        <v>100</v>
      </c>
      <c r="D11" s="94" t="s">
        <v>300</v>
      </c>
      <c r="E11" s="96"/>
      <c r="H11" s="69" t="s">
        <v>302</v>
      </c>
      <c r="I11" s="69" t="s">
        <v>316</v>
      </c>
      <c r="J11" s="5">
        <v>31</v>
      </c>
      <c r="K11" s="94" t="s">
        <v>281</v>
      </c>
    </row>
    <row r="12" spans="1:12" x14ac:dyDescent="0.15">
      <c r="A12" s="69" t="s">
        <v>185</v>
      </c>
      <c r="B12" s="69" t="s">
        <v>295</v>
      </c>
      <c r="C12" s="93" t="e">
        <f>#REF!-C11</f>
        <v>#REF!</v>
      </c>
      <c r="D12" s="94" t="s">
        <v>300</v>
      </c>
      <c r="E12" s="69"/>
      <c r="H12" s="69" t="s">
        <v>307</v>
      </c>
      <c r="I12" s="69" t="s">
        <v>15</v>
      </c>
      <c r="J12" s="5" t="e">
        <f>#REF!+#REF!+#REF!+#REF!+#REF!+#REF!+#REF!+#REF!+#REF!</f>
        <v>#REF!</v>
      </c>
      <c r="K12" s="94" t="s">
        <v>281</v>
      </c>
    </row>
    <row r="13" spans="1:12" x14ac:dyDescent="0.15">
      <c r="A13" s="69" t="s">
        <v>86</v>
      </c>
      <c r="B13" s="69" t="s">
        <v>313</v>
      </c>
      <c r="C13" s="93" t="e">
        <f>#REF!+#REF!+100-J5-J10</f>
        <v>#REF!</v>
      </c>
      <c r="D13" s="94" t="s">
        <v>300</v>
      </c>
      <c r="E13" s="69" t="s">
        <v>329</v>
      </c>
      <c r="H13" s="69" t="s">
        <v>156</v>
      </c>
      <c r="I13" s="69" t="s">
        <v>15</v>
      </c>
      <c r="J13" s="5" t="e">
        <f>#REF!</f>
        <v>#REF!</v>
      </c>
      <c r="K13" s="94" t="s">
        <v>281</v>
      </c>
    </row>
    <row r="14" spans="1:12" ht="15" x14ac:dyDescent="0.2">
      <c r="A14" s="14" t="s">
        <v>282</v>
      </c>
      <c r="C14" s="5" t="e">
        <f>#REF!</f>
        <v>#REF!</v>
      </c>
      <c r="D14" s="94" t="s">
        <v>300</v>
      </c>
      <c r="H14" s="69" t="s">
        <v>158</v>
      </c>
      <c r="I14" s="69" t="s">
        <v>308</v>
      </c>
      <c r="J14" s="5" t="e">
        <f>#REF!</f>
        <v>#REF!</v>
      </c>
      <c r="K14" s="94" t="s">
        <v>281</v>
      </c>
    </row>
    <row r="15" spans="1:12" ht="15" x14ac:dyDescent="0.2">
      <c r="A15" s="14" t="s">
        <v>283</v>
      </c>
      <c r="C15" s="5" t="e">
        <f>#REF!</f>
        <v>#REF!</v>
      </c>
      <c r="D15" s="94" t="s">
        <v>300</v>
      </c>
      <c r="H15" s="69" t="s">
        <v>143</v>
      </c>
      <c r="I15" s="69" t="s">
        <v>308</v>
      </c>
      <c r="J15" s="5" t="e">
        <f>#REF!</f>
        <v>#REF!</v>
      </c>
      <c r="K15" s="94" t="s">
        <v>281</v>
      </c>
    </row>
    <row r="16" spans="1:12" ht="15" x14ac:dyDescent="0.2">
      <c r="A16" s="14" t="s">
        <v>284</v>
      </c>
      <c r="C16" s="5" t="e">
        <f>#REF!</f>
        <v>#REF!</v>
      </c>
      <c r="D16" s="94" t="s">
        <v>300</v>
      </c>
      <c r="H16" s="69" t="s">
        <v>142</v>
      </c>
      <c r="I16" s="69" t="s">
        <v>298</v>
      </c>
      <c r="J16" s="93" t="e">
        <f>#REF!</f>
        <v>#REF!</v>
      </c>
      <c r="K16" s="94" t="s">
        <v>281</v>
      </c>
    </row>
    <row r="17" spans="1:11" ht="15" x14ac:dyDescent="0.2">
      <c r="A17" s="14" t="s">
        <v>285</v>
      </c>
      <c r="C17" s="5" t="e">
        <f>#REF!</f>
        <v>#REF!</v>
      </c>
      <c r="D17" s="94" t="s">
        <v>300</v>
      </c>
      <c r="H17" s="69" t="s">
        <v>304</v>
      </c>
      <c r="I17" s="69" t="s">
        <v>305</v>
      </c>
      <c r="J17" s="93" t="e">
        <f>#REF!</f>
        <v>#REF!</v>
      </c>
      <c r="K17" s="94" t="s">
        <v>281</v>
      </c>
    </row>
    <row r="18" spans="1:11" ht="15" x14ac:dyDescent="0.2">
      <c r="A18" s="14" t="s">
        <v>286</v>
      </c>
      <c r="C18" s="93" t="e">
        <f>#REF!</f>
        <v>#REF!</v>
      </c>
      <c r="D18" s="94" t="s">
        <v>300</v>
      </c>
      <c r="H18" s="69" t="s">
        <v>137</v>
      </c>
      <c r="I18" s="69" t="s">
        <v>15</v>
      </c>
      <c r="J18" s="5" t="e">
        <f>#REF!</f>
        <v>#REF!</v>
      </c>
      <c r="K18" s="94" t="s">
        <v>281</v>
      </c>
    </row>
    <row r="19" spans="1:11" ht="15" x14ac:dyDescent="0.2">
      <c r="A19" s="14" t="s">
        <v>287</v>
      </c>
      <c r="C19" s="5" t="e">
        <f>#REF!</f>
        <v>#REF!</v>
      </c>
      <c r="D19" s="94" t="s">
        <v>300</v>
      </c>
    </row>
    <row r="20" spans="1:11" ht="15" x14ac:dyDescent="0.2">
      <c r="A20" s="14" t="s">
        <v>310</v>
      </c>
      <c r="B20" s="69" t="s">
        <v>311</v>
      </c>
      <c r="C20" s="5" t="e">
        <f>#REF!</f>
        <v>#REF!</v>
      </c>
      <c r="D20" s="94" t="s">
        <v>300</v>
      </c>
    </row>
    <row r="22" spans="1:11" x14ac:dyDescent="0.15">
      <c r="A22" s="69" t="s">
        <v>314</v>
      </c>
      <c r="C22" s="69" t="s">
        <v>7</v>
      </c>
      <c r="D22" t="s">
        <v>318</v>
      </c>
      <c r="E22" s="69" t="s">
        <v>319</v>
      </c>
    </row>
    <row r="23" spans="1:11" x14ac:dyDescent="0.15">
      <c r="B23" s="69" t="s">
        <v>296</v>
      </c>
      <c r="C23" s="5" t="e">
        <f>C3</f>
        <v>#REF!</v>
      </c>
      <c r="D23" s="5" t="e">
        <f>SUMIF(D5:D20,"complete",C5:C20)</f>
        <v>#REF!</v>
      </c>
      <c r="E23" s="5" t="e">
        <f>C23-D23</f>
        <v>#REF!</v>
      </c>
    </row>
    <row r="24" spans="1:11" x14ac:dyDescent="0.15">
      <c r="B24" s="69" t="s">
        <v>297</v>
      </c>
      <c r="C24" s="5" t="e">
        <f>J3</f>
        <v>#REF!</v>
      </c>
      <c r="D24" s="5" t="e">
        <f>SUMIF(K5:K18,"paid",J5:J18)</f>
        <v>#REF!</v>
      </c>
      <c r="E24" s="5" t="e">
        <f>C24-D24</f>
        <v>#REF!</v>
      </c>
    </row>
    <row r="25" spans="1:11" x14ac:dyDescent="0.15">
      <c r="B25" s="69" t="s">
        <v>7</v>
      </c>
      <c r="C25" s="5" t="e">
        <f>C24+C23</f>
        <v>#REF!</v>
      </c>
      <c r="D25" s="5" t="e">
        <f t="shared" ref="D25:E25" si="0">D24+D23</f>
        <v>#REF!</v>
      </c>
      <c r="E25" s="5" t="e">
        <f t="shared" si="0"/>
        <v>#REF!</v>
      </c>
    </row>
    <row r="26" spans="1:11" x14ac:dyDescent="0.15">
      <c r="B26" s="69" t="s">
        <v>315</v>
      </c>
      <c r="C26" s="52" t="e">
        <f>#REF!</f>
        <v>#REF!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"/>
  <sheetViews>
    <sheetView workbookViewId="0">
      <selection activeCell="M34" sqref="M34"/>
    </sheetView>
  </sheetViews>
  <sheetFormatPr baseColWidth="10" defaultColWidth="8.83203125" defaultRowHeight="13" x14ac:dyDescent="0.15"/>
  <sheetData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79998168889431442"/>
  </sheetPr>
  <dimension ref="B5:R35"/>
  <sheetViews>
    <sheetView showGridLines="0" workbookViewId="0">
      <selection activeCell="H14" sqref="H14"/>
    </sheetView>
  </sheetViews>
  <sheetFormatPr baseColWidth="10" defaultColWidth="8.6640625" defaultRowHeight="16" x14ac:dyDescent="0.2"/>
  <cols>
    <col min="1" max="1" width="3.5" style="147" customWidth="1"/>
    <col min="2" max="2" width="18.1640625" style="147" customWidth="1"/>
    <col min="3" max="3" width="10.5" style="147" customWidth="1"/>
    <col min="4" max="4" width="10.83203125" style="147" bestFit="1" customWidth="1"/>
    <col min="5" max="7" width="9" style="147" bestFit="1" customWidth="1"/>
    <col min="8" max="8" width="14.33203125" style="147" bestFit="1" customWidth="1"/>
    <col min="9" max="9" width="11.6640625" style="147" customWidth="1"/>
    <col min="10" max="10" width="15" style="147" customWidth="1"/>
    <col min="11" max="11" width="11.83203125" style="147" bestFit="1" customWidth="1"/>
    <col min="12" max="12" width="20" style="147" bestFit="1" customWidth="1"/>
    <col min="13" max="13" width="14" style="147" customWidth="1"/>
    <col min="14" max="18" width="14.33203125" style="147" bestFit="1" customWidth="1"/>
    <col min="19" max="16384" width="8.6640625" style="147"/>
  </cols>
  <sheetData>
    <row r="5" spans="2:18" ht="17" thickBot="1" x14ac:dyDescent="0.25"/>
    <row r="6" spans="2:18" x14ac:dyDescent="0.2">
      <c r="M6" s="151"/>
    </row>
    <row r="7" spans="2:18" x14ac:dyDescent="0.2">
      <c r="C7" s="154" t="s">
        <v>344</v>
      </c>
      <c r="D7" s="154" t="s">
        <v>48</v>
      </c>
      <c r="E7" s="154" t="s">
        <v>49</v>
      </c>
      <c r="F7" s="154" t="s">
        <v>50</v>
      </c>
      <c r="G7" s="154" t="s">
        <v>51</v>
      </c>
      <c r="H7" s="154" t="s">
        <v>52</v>
      </c>
      <c r="I7" s="154" t="s">
        <v>53</v>
      </c>
      <c r="J7" s="154" t="s">
        <v>54</v>
      </c>
      <c r="K7" s="154" t="s">
        <v>55</v>
      </c>
      <c r="L7" s="154" t="s">
        <v>56</v>
      </c>
      <c r="M7" s="158">
        <v>0.7</v>
      </c>
      <c r="N7" s="150">
        <v>0.75</v>
      </c>
      <c r="O7" s="150">
        <v>0.8</v>
      </c>
      <c r="P7" s="150">
        <v>0.9</v>
      </c>
      <c r="Q7" s="150">
        <v>0.95</v>
      </c>
      <c r="R7" s="153" t="s">
        <v>94</v>
      </c>
    </row>
    <row r="8" spans="2:18" x14ac:dyDescent="0.2">
      <c r="B8" s="153" t="s">
        <v>40</v>
      </c>
      <c r="C8" s="155">
        <v>39</v>
      </c>
      <c r="D8" s="155">
        <f>$C$8</f>
        <v>39</v>
      </c>
      <c r="E8" s="155">
        <f t="shared" ref="E8:I8" si="0">$C$8</f>
        <v>39</v>
      </c>
      <c r="F8" s="155">
        <f t="shared" si="0"/>
        <v>39</v>
      </c>
      <c r="G8" s="155">
        <f t="shared" si="0"/>
        <v>39</v>
      </c>
      <c r="H8" s="155">
        <f t="shared" si="0"/>
        <v>39</v>
      </c>
      <c r="I8" s="155">
        <f t="shared" si="0"/>
        <v>39</v>
      </c>
      <c r="J8" s="157">
        <f>SUM(D8:I8)</f>
        <v>234</v>
      </c>
      <c r="K8" s="156">
        <v>22.5</v>
      </c>
      <c r="L8" s="161">
        <f t="shared" ref="L8:L13" si="1">K8*J8</f>
        <v>5265</v>
      </c>
      <c r="M8" s="163">
        <f>L8*$M$7</f>
        <v>3685.4999999999995</v>
      </c>
      <c r="N8" s="162">
        <f>L8*$N$7</f>
        <v>3948.75</v>
      </c>
      <c r="O8" s="131">
        <f>$O$7*L8</f>
        <v>4212</v>
      </c>
      <c r="P8" s="131">
        <f>$P$7*L8</f>
        <v>4738.5</v>
      </c>
      <c r="Q8" s="131">
        <f>L8*$Q$7</f>
        <v>5001.75</v>
      </c>
      <c r="R8" s="131">
        <f t="shared" ref="R8:R13" si="2">L8</f>
        <v>5265</v>
      </c>
    </row>
    <row r="9" spans="2:18" x14ac:dyDescent="0.2">
      <c r="B9" s="153" t="s">
        <v>41</v>
      </c>
      <c r="C9" s="155">
        <v>39</v>
      </c>
      <c r="D9" s="155">
        <f>$C$9</f>
        <v>39</v>
      </c>
      <c r="E9" s="155">
        <f t="shared" ref="E9:I9" si="3">$C$9</f>
        <v>39</v>
      </c>
      <c r="F9" s="155">
        <f t="shared" si="3"/>
        <v>39</v>
      </c>
      <c r="G9" s="155">
        <f t="shared" si="3"/>
        <v>39</v>
      </c>
      <c r="H9" s="155">
        <f t="shared" si="3"/>
        <v>39</v>
      </c>
      <c r="I9" s="155">
        <f t="shared" si="3"/>
        <v>39</v>
      </c>
      <c r="J9" s="157">
        <f t="shared" ref="J9:J14" si="4">SUM(D9:I9)</f>
        <v>234</v>
      </c>
      <c r="K9" s="156">
        <v>20</v>
      </c>
      <c r="L9" s="161">
        <f t="shared" si="1"/>
        <v>4680</v>
      </c>
      <c r="M9" s="163">
        <f t="shared" ref="M9:M13" si="5">L9*$M$7</f>
        <v>3276</v>
      </c>
      <c r="N9" s="162">
        <f t="shared" ref="N9:N13" si="6">L9*$N$7</f>
        <v>3510</v>
      </c>
      <c r="O9" s="131">
        <f t="shared" ref="O9:O13" si="7">$O$7*L9</f>
        <v>3744</v>
      </c>
      <c r="P9" s="131">
        <f t="shared" ref="P9:P13" si="8">$P$7*L9</f>
        <v>4212</v>
      </c>
      <c r="Q9" s="131">
        <f t="shared" ref="Q9:Q13" si="9">L9*$Q$7</f>
        <v>4446</v>
      </c>
      <c r="R9" s="131">
        <f t="shared" si="2"/>
        <v>4680</v>
      </c>
    </row>
    <row r="10" spans="2:18" x14ac:dyDescent="0.2">
      <c r="B10" s="153" t="s">
        <v>42</v>
      </c>
      <c r="C10" s="155">
        <v>32</v>
      </c>
      <c r="D10" s="155">
        <f>$C$10</f>
        <v>32</v>
      </c>
      <c r="E10" s="155">
        <f t="shared" ref="E10:I10" si="10">$C$10</f>
        <v>32</v>
      </c>
      <c r="F10" s="155">
        <f t="shared" si="10"/>
        <v>32</v>
      </c>
      <c r="G10" s="155">
        <f t="shared" si="10"/>
        <v>32</v>
      </c>
      <c r="H10" s="155">
        <f t="shared" si="10"/>
        <v>32</v>
      </c>
      <c r="I10" s="155">
        <f t="shared" si="10"/>
        <v>32</v>
      </c>
      <c r="J10" s="157">
        <f t="shared" si="4"/>
        <v>192</v>
      </c>
      <c r="K10" s="156">
        <v>18</v>
      </c>
      <c r="L10" s="161">
        <f t="shared" si="1"/>
        <v>3456</v>
      </c>
      <c r="M10" s="163">
        <f t="shared" si="5"/>
        <v>2419.1999999999998</v>
      </c>
      <c r="N10" s="162">
        <f t="shared" si="6"/>
        <v>2592</v>
      </c>
      <c r="O10" s="131">
        <f t="shared" si="7"/>
        <v>2764.8</v>
      </c>
      <c r="P10" s="131">
        <f t="shared" si="8"/>
        <v>3110.4</v>
      </c>
      <c r="Q10" s="131">
        <f t="shared" si="9"/>
        <v>3283.2</v>
      </c>
      <c r="R10" s="131">
        <f t="shared" si="2"/>
        <v>3456</v>
      </c>
    </row>
    <row r="11" spans="2:18" x14ac:dyDescent="0.2">
      <c r="B11" s="153" t="s">
        <v>43</v>
      </c>
      <c r="C11" s="155">
        <v>23</v>
      </c>
      <c r="D11" s="155">
        <f>23-D13</f>
        <v>17</v>
      </c>
      <c r="E11" s="155">
        <f t="shared" ref="E11:I11" si="11">23-E13</f>
        <v>17</v>
      </c>
      <c r="F11" s="155">
        <f t="shared" si="11"/>
        <v>17</v>
      </c>
      <c r="G11" s="155">
        <f t="shared" si="11"/>
        <v>17</v>
      </c>
      <c r="H11" s="155">
        <f t="shared" si="11"/>
        <v>17</v>
      </c>
      <c r="I11" s="155">
        <f t="shared" si="11"/>
        <v>17</v>
      </c>
      <c r="J11" s="157">
        <f t="shared" si="4"/>
        <v>102</v>
      </c>
      <c r="K11" s="156">
        <v>15</v>
      </c>
      <c r="L11" s="161">
        <f t="shared" si="1"/>
        <v>1530</v>
      </c>
      <c r="M11" s="163">
        <f t="shared" si="5"/>
        <v>1071</v>
      </c>
      <c r="N11" s="162">
        <f t="shared" si="6"/>
        <v>1147.5</v>
      </c>
      <c r="O11" s="131">
        <f t="shared" si="7"/>
        <v>1224</v>
      </c>
      <c r="P11" s="131">
        <f t="shared" si="8"/>
        <v>1377</v>
      </c>
      <c r="Q11" s="131">
        <f t="shared" si="9"/>
        <v>1453.5</v>
      </c>
      <c r="R11" s="131">
        <f t="shared" si="2"/>
        <v>1530</v>
      </c>
    </row>
    <row r="12" spans="2:18" x14ac:dyDescent="0.2">
      <c r="B12" s="153" t="s">
        <v>57</v>
      </c>
      <c r="C12" s="155">
        <v>2</v>
      </c>
      <c r="D12" s="155">
        <f>$C$12</f>
        <v>2</v>
      </c>
      <c r="E12" s="155">
        <f t="shared" ref="E12:I12" si="12">$C$12</f>
        <v>2</v>
      </c>
      <c r="F12" s="155">
        <f t="shared" si="12"/>
        <v>2</v>
      </c>
      <c r="G12" s="155">
        <f t="shared" si="12"/>
        <v>2</v>
      </c>
      <c r="H12" s="155">
        <f t="shared" si="12"/>
        <v>2</v>
      </c>
      <c r="I12" s="155">
        <f t="shared" si="12"/>
        <v>2</v>
      </c>
      <c r="J12" s="157">
        <f t="shared" si="4"/>
        <v>12</v>
      </c>
      <c r="K12" s="156">
        <v>0</v>
      </c>
      <c r="L12" s="161">
        <f t="shared" si="1"/>
        <v>0</v>
      </c>
      <c r="M12" s="163">
        <f t="shared" si="5"/>
        <v>0</v>
      </c>
      <c r="N12" s="162">
        <f t="shared" si="6"/>
        <v>0</v>
      </c>
      <c r="O12" s="131">
        <f t="shared" si="7"/>
        <v>0</v>
      </c>
      <c r="P12" s="131">
        <f t="shared" si="8"/>
        <v>0</v>
      </c>
      <c r="Q12" s="131">
        <f t="shared" si="9"/>
        <v>0</v>
      </c>
      <c r="R12" s="131">
        <f t="shared" si="2"/>
        <v>0</v>
      </c>
    </row>
    <row r="13" spans="2:18" x14ac:dyDescent="0.2">
      <c r="B13" s="153" t="s">
        <v>343</v>
      </c>
      <c r="C13" s="155"/>
      <c r="D13" s="177">
        <v>6</v>
      </c>
      <c r="E13" s="177">
        <v>6</v>
      </c>
      <c r="F13" s="177">
        <v>6</v>
      </c>
      <c r="G13" s="177">
        <v>6</v>
      </c>
      <c r="H13" s="177">
        <v>6</v>
      </c>
      <c r="I13" s="177">
        <v>6</v>
      </c>
      <c r="J13" s="157">
        <f t="shared" si="4"/>
        <v>36</v>
      </c>
      <c r="K13" s="156">
        <v>0</v>
      </c>
      <c r="L13" s="161">
        <f t="shared" si="1"/>
        <v>0</v>
      </c>
      <c r="M13" s="163">
        <f t="shared" si="5"/>
        <v>0</v>
      </c>
      <c r="N13" s="162">
        <f t="shared" si="6"/>
        <v>0</v>
      </c>
      <c r="O13" s="131">
        <f t="shared" si="7"/>
        <v>0</v>
      </c>
      <c r="P13" s="131">
        <f t="shared" si="8"/>
        <v>0</v>
      </c>
      <c r="Q13" s="131">
        <f t="shared" si="9"/>
        <v>0</v>
      </c>
      <c r="R13" s="131">
        <f t="shared" si="2"/>
        <v>0</v>
      </c>
    </row>
    <row r="14" spans="2:18" x14ac:dyDescent="0.2">
      <c r="B14" s="147" t="s">
        <v>7</v>
      </c>
      <c r="C14" s="157">
        <f>SUM(C8:C12)</f>
        <v>135</v>
      </c>
      <c r="D14" s="157">
        <f>SUM(D8:D13)</f>
        <v>135</v>
      </c>
      <c r="E14" s="157">
        <f t="shared" ref="E14:I14" si="13">SUM(E8:E13)</f>
        <v>135</v>
      </c>
      <c r="F14" s="157">
        <f t="shared" si="13"/>
        <v>135</v>
      </c>
      <c r="G14" s="157">
        <f t="shared" si="13"/>
        <v>135</v>
      </c>
      <c r="H14" s="157">
        <f t="shared" si="13"/>
        <v>135</v>
      </c>
      <c r="I14" s="157">
        <f t="shared" si="13"/>
        <v>135</v>
      </c>
      <c r="J14" s="157">
        <f t="shared" si="4"/>
        <v>810</v>
      </c>
      <c r="L14" s="161">
        <f>SUM(L8:L13)</f>
        <v>14931</v>
      </c>
      <c r="M14" s="163">
        <f>SUM(M8:M13)</f>
        <v>10451.700000000001</v>
      </c>
      <c r="N14" s="162">
        <f t="shared" ref="N14:R14" si="14">SUM(N8:N13)</f>
        <v>11198.25</v>
      </c>
      <c r="O14" s="131">
        <f t="shared" si="14"/>
        <v>11944.8</v>
      </c>
      <c r="P14" s="131">
        <f t="shared" si="14"/>
        <v>13437.9</v>
      </c>
      <c r="Q14" s="131">
        <f t="shared" si="14"/>
        <v>14184.45</v>
      </c>
      <c r="R14" s="131">
        <f t="shared" si="14"/>
        <v>14931</v>
      </c>
    </row>
    <row r="15" spans="2:18" x14ac:dyDescent="0.2">
      <c r="M15" s="159"/>
    </row>
    <row r="16" spans="2:18" x14ac:dyDescent="0.2">
      <c r="L16" s="147" t="s">
        <v>59</v>
      </c>
      <c r="M16" s="163">
        <f>(M14*$L$17)*(1+$L$18)</f>
        <v>1881.306</v>
      </c>
      <c r="N16" s="162">
        <f>(N14*$L$17)*(1+$L$18)</f>
        <v>2015.6849999999999</v>
      </c>
      <c r="O16" s="131">
        <f t="shared" ref="O16:R16" si="15">(O14*$L$17)*(1+$L$18)</f>
        <v>2150.0639999999999</v>
      </c>
      <c r="P16" s="131">
        <f t="shared" si="15"/>
        <v>2418.8219999999997</v>
      </c>
      <c r="Q16" s="131">
        <f t="shared" si="15"/>
        <v>2553.201</v>
      </c>
      <c r="R16" s="131">
        <f t="shared" si="15"/>
        <v>2687.58</v>
      </c>
    </row>
    <row r="17" spans="3:18" ht="17" thickBot="1" x14ac:dyDescent="0.25">
      <c r="K17" s="147" t="s">
        <v>346</v>
      </c>
      <c r="L17" s="164">
        <v>0.15</v>
      </c>
      <c r="M17" s="160"/>
      <c r="O17" s="148"/>
      <c r="P17" s="148"/>
      <c r="Q17" s="148"/>
      <c r="R17" s="148"/>
    </row>
    <row r="18" spans="3:18" x14ac:dyDescent="0.2">
      <c r="K18" s="147" t="s">
        <v>184</v>
      </c>
      <c r="L18" s="164">
        <v>0.2</v>
      </c>
    </row>
    <row r="26" spans="3:18" ht="17" thickBot="1" x14ac:dyDescent="0.25"/>
    <row r="27" spans="3:18" ht="17" thickBot="1" x14ac:dyDescent="0.25">
      <c r="C27" s="147" t="s">
        <v>345</v>
      </c>
      <c r="H27" s="149">
        <f>M14</f>
        <v>10451.700000000001</v>
      </c>
      <c r="I27" s="147" t="s">
        <v>348</v>
      </c>
      <c r="J27" s="152" t="s">
        <v>361</v>
      </c>
    </row>
    <row r="28" spans="3:18" x14ac:dyDescent="0.2">
      <c r="J28" s="147" t="s">
        <v>453</v>
      </c>
    </row>
    <row r="30" spans="3:18" ht="17" thickBot="1" x14ac:dyDescent="0.25"/>
    <row r="31" spans="3:18" ht="17" thickBot="1" x14ac:dyDescent="0.25">
      <c r="C31" s="147" t="s">
        <v>347</v>
      </c>
      <c r="H31" s="149">
        <f>M16</f>
        <v>1881.306</v>
      </c>
      <c r="I31" s="147" t="s">
        <v>348</v>
      </c>
      <c r="J31" s="147" t="s">
        <v>349</v>
      </c>
    </row>
    <row r="32" spans="3:18" x14ac:dyDescent="0.2">
      <c r="J32" s="152" t="s">
        <v>448</v>
      </c>
    </row>
    <row r="33" spans="10:10" x14ac:dyDescent="0.2">
      <c r="J33" s="152" t="s">
        <v>362</v>
      </c>
    </row>
    <row r="34" spans="10:10" x14ac:dyDescent="0.2">
      <c r="J34" s="152" t="s">
        <v>454</v>
      </c>
    </row>
    <row r="35" spans="10:10" x14ac:dyDescent="0.2">
      <c r="J35" s="147" t="s">
        <v>452</v>
      </c>
    </row>
  </sheetData>
  <conditionalFormatting sqref="L8:R13">
    <cfRule type="cellIs" dxfId="13" priority="5" operator="lessThan">
      <formula>0</formula>
    </cfRule>
  </conditionalFormatting>
  <conditionalFormatting sqref="M16:R16">
    <cfRule type="cellIs" dxfId="12" priority="4" operator="lessThan">
      <formula>0</formula>
    </cfRule>
  </conditionalFormatting>
  <conditionalFormatting sqref="J8:J13">
    <cfRule type="cellIs" dxfId="11" priority="3" operator="lessThan">
      <formula>0</formula>
    </cfRule>
  </conditionalFormatting>
  <conditionalFormatting sqref="C14:J14">
    <cfRule type="cellIs" dxfId="10" priority="2" operator="lessThan">
      <formula>0</formula>
    </cfRule>
  </conditionalFormatting>
  <conditionalFormatting sqref="L14:R14">
    <cfRule type="cellIs" dxfId="9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79998168889431442"/>
  </sheetPr>
  <dimension ref="A2:O11"/>
  <sheetViews>
    <sheetView showGridLines="0" workbookViewId="0">
      <selection activeCell="H38" sqref="H38"/>
    </sheetView>
  </sheetViews>
  <sheetFormatPr baseColWidth="10" defaultColWidth="8.6640625" defaultRowHeight="13" x14ac:dyDescent="0.15"/>
  <cols>
    <col min="1" max="1" width="20.5" style="138" customWidth="1"/>
    <col min="2" max="2" width="10.5" style="138" customWidth="1"/>
    <col min="3" max="3" width="10.5" style="138" bestFit="1" customWidth="1"/>
    <col min="4" max="6" width="8.6640625" style="138"/>
    <col min="7" max="7" width="11" style="138" customWidth="1"/>
    <col min="8" max="8" width="8.83203125" style="138" bestFit="1" customWidth="1"/>
    <col min="9" max="9" width="8.6640625" style="138"/>
    <col min="10" max="10" width="9.6640625" style="138" bestFit="1" customWidth="1"/>
    <col min="11" max="11" width="19.6640625" style="138" bestFit="1" customWidth="1"/>
    <col min="12" max="13" width="11.5" style="138" bestFit="1" customWidth="1"/>
    <col min="14" max="15" width="11.33203125" style="138" bestFit="1" customWidth="1"/>
    <col min="16" max="16" width="12.6640625" style="138" customWidth="1"/>
    <col min="17" max="17" width="11.5" style="138" bestFit="1" customWidth="1"/>
    <col min="18" max="16384" width="8.6640625" style="138"/>
  </cols>
  <sheetData>
    <row r="2" spans="1:15" x14ac:dyDescent="0.15">
      <c r="A2" s="144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4" thickBot="1" x14ac:dyDescent="0.2"/>
    <row r="4" spans="1:15" ht="14" thickBot="1" x14ac:dyDescent="0.2">
      <c r="A4" s="142" t="s">
        <v>37</v>
      </c>
      <c r="B4" s="165">
        <v>30</v>
      </c>
      <c r="D4" s="138" t="s">
        <v>366</v>
      </c>
    </row>
    <row r="5" spans="1:15" x14ac:dyDescent="0.15">
      <c r="D5" s="138" t="s">
        <v>367</v>
      </c>
    </row>
    <row r="6" spans="1:15" ht="14" thickBot="1" x14ac:dyDescent="0.2"/>
    <row r="7" spans="1:15" ht="14" thickBot="1" x14ac:dyDescent="0.2">
      <c r="A7" s="142" t="s">
        <v>350</v>
      </c>
      <c r="B7" s="141">
        <v>80</v>
      </c>
      <c r="D7" s="138" t="s">
        <v>455</v>
      </c>
    </row>
    <row r="10" spans="1:15" ht="14" thickBot="1" x14ac:dyDescent="0.2"/>
    <row r="11" spans="1:15" ht="14" thickBot="1" x14ac:dyDescent="0.2">
      <c r="A11" s="142" t="s">
        <v>36</v>
      </c>
      <c r="B11" s="146">
        <f>B7*B4</f>
        <v>2400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79998168889431442"/>
  </sheetPr>
  <dimension ref="A2:O15"/>
  <sheetViews>
    <sheetView showGridLines="0" workbookViewId="0">
      <selection activeCell="D6" sqref="D6"/>
    </sheetView>
  </sheetViews>
  <sheetFormatPr baseColWidth="10" defaultColWidth="8.6640625" defaultRowHeight="13" x14ac:dyDescent="0.15"/>
  <cols>
    <col min="1" max="1" width="20.5" style="138" customWidth="1"/>
    <col min="2" max="2" width="10.5" style="138" customWidth="1"/>
    <col min="3" max="3" width="10.5" style="138" bestFit="1" customWidth="1"/>
    <col min="4" max="6" width="8.6640625" style="138"/>
    <col min="7" max="7" width="8" style="138" customWidth="1"/>
    <col min="8" max="8" width="8.83203125" style="138" bestFit="1" customWidth="1"/>
    <col min="9" max="9" width="8.6640625" style="138"/>
    <col min="10" max="10" width="9.6640625" style="138" bestFit="1" customWidth="1"/>
    <col min="11" max="11" width="19.6640625" style="138" bestFit="1" customWidth="1"/>
    <col min="12" max="13" width="11.5" style="138" bestFit="1" customWidth="1"/>
    <col min="14" max="15" width="11.33203125" style="138" bestFit="1" customWidth="1"/>
    <col min="16" max="16" width="12.6640625" style="138" customWidth="1"/>
    <col min="17" max="17" width="11.5" style="138" bestFit="1" customWidth="1"/>
    <col min="18" max="16384" width="8.6640625" style="138"/>
  </cols>
  <sheetData>
    <row r="2" spans="1:15" x14ac:dyDescent="0.15">
      <c r="A2" s="144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4" spans="1:15" ht="15" x14ac:dyDescent="0.15">
      <c r="A4" s="142" t="s">
        <v>47</v>
      </c>
      <c r="B4" s="161">
        <f>J15</f>
        <v>300</v>
      </c>
      <c r="D4" s="138" t="s">
        <v>368</v>
      </c>
    </row>
    <row r="5" spans="1:15" x14ac:dyDescent="0.15">
      <c r="D5" s="138" t="s">
        <v>467</v>
      </c>
    </row>
    <row r="8" spans="1:15" x14ac:dyDescent="0.15">
      <c r="D8" s="138" t="s">
        <v>47</v>
      </c>
    </row>
    <row r="10" spans="1:15" ht="14" thickBot="1" x14ac:dyDescent="0.2">
      <c r="D10" s="138" t="s">
        <v>48</v>
      </c>
      <c r="E10" s="138" t="s">
        <v>49</v>
      </c>
      <c r="F10" s="138" t="s">
        <v>50</v>
      </c>
      <c r="G10" s="138" t="s">
        <v>51</v>
      </c>
      <c r="H10" s="138" t="s">
        <v>436</v>
      </c>
      <c r="I10" s="138" t="s">
        <v>53</v>
      </c>
    </row>
    <row r="11" spans="1:15" ht="16" thickBot="1" x14ac:dyDescent="0.2">
      <c r="C11" s="138" t="s">
        <v>456</v>
      </c>
      <c r="D11" s="165">
        <v>0</v>
      </c>
      <c r="E11" s="165">
        <v>0</v>
      </c>
      <c r="F11" s="165">
        <v>5</v>
      </c>
      <c r="G11" s="165">
        <v>10</v>
      </c>
      <c r="H11" s="165">
        <v>10</v>
      </c>
      <c r="I11" s="165">
        <v>5</v>
      </c>
      <c r="J11" s="183">
        <f>SUM(D11:I11)</f>
        <v>30</v>
      </c>
    </row>
    <row r="12" spans="1:15" ht="16" thickBot="1" x14ac:dyDescent="0.2">
      <c r="C12" s="138" t="s">
        <v>457</v>
      </c>
      <c r="D12" s="165">
        <v>20</v>
      </c>
      <c r="E12" s="165">
        <v>20</v>
      </c>
      <c r="F12" s="165">
        <v>20</v>
      </c>
      <c r="G12" s="165">
        <v>20</v>
      </c>
      <c r="H12" s="165">
        <v>20</v>
      </c>
      <c r="I12" s="165">
        <v>20</v>
      </c>
      <c r="J12" s="183">
        <f>SUM(D12:I12)</f>
        <v>120</v>
      </c>
    </row>
    <row r="13" spans="1:15" ht="15" x14ac:dyDescent="0.15">
      <c r="J13" s="183">
        <f>J12+J11</f>
        <v>150</v>
      </c>
    </row>
    <row r="14" spans="1:15" ht="15" x14ac:dyDescent="0.15">
      <c r="J14" s="161">
        <v>2</v>
      </c>
    </row>
    <row r="15" spans="1:15" ht="15" x14ac:dyDescent="0.15">
      <c r="J15" s="161">
        <f>J14*J13</f>
        <v>300</v>
      </c>
    </row>
  </sheetData>
  <conditionalFormatting sqref="J14:J15 J11:J12">
    <cfRule type="cellIs" dxfId="8" priority="4" operator="lessThan">
      <formula>0</formula>
    </cfRule>
  </conditionalFormatting>
  <conditionalFormatting sqref="B4">
    <cfRule type="cellIs" dxfId="7" priority="2" operator="lessThan">
      <formula>0</formula>
    </cfRule>
  </conditionalFormatting>
  <conditionalFormatting sqref="J13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79998168889431442"/>
  </sheetPr>
  <dimension ref="A2:O4"/>
  <sheetViews>
    <sheetView showGridLines="0" workbookViewId="0">
      <selection activeCell="F22" sqref="F22"/>
    </sheetView>
  </sheetViews>
  <sheetFormatPr baseColWidth="10" defaultColWidth="8.6640625" defaultRowHeight="13" x14ac:dyDescent="0.15"/>
  <cols>
    <col min="1" max="1" width="20.5" style="138" customWidth="1"/>
    <col min="2" max="2" width="10.5" style="138" customWidth="1"/>
    <col min="3" max="3" width="10.5" style="138" bestFit="1" customWidth="1"/>
    <col min="4" max="6" width="8.6640625" style="138"/>
    <col min="7" max="7" width="11" style="138" customWidth="1"/>
    <col min="8" max="8" width="8.83203125" style="138" bestFit="1" customWidth="1"/>
    <col min="9" max="9" width="8.6640625" style="138"/>
    <col min="10" max="10" width="9.6640625" style="138" bestFit="1" customWidth="1"/>
    <col min="11" max="11" width="19.6640625" style="138" bestFit="1" customWidth="1"/>
    <col min="12" max="13" width="11.5" style="138" bestFit="1" customWidth="1"/>
    <col min="14" max="15" width="11.33203125" style="138" bestFit="1" customWidth="1"/>
    <col min="16" max="16" width="12.6640625" style="138" customWidth="1"/>
    <col min="17" max="17" width="11.5" style="138" bestFit="1" customWidth="1"/>
    <col min="18" max="16384" width="8.6640625" style="138"/>
  </cols>
  <sheetData>
    <row r="2" spans="1:15" x14ac:dyDescent="0.15">
      <c r="A2" s="144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4" thickBot="1" x14ac:dyDescent="0.2"/>
    <row r="4" spans="1:15" ht="14" thickBot="1" x14ac:dyDescent="0.2">
      <c r="A4" s="142" t="s">
        <v>46</v>
      </c>
      <c r="B4" s="141">
        <v>0</v>
      </c>
      <c r="D4" s="138" t="s">
        <v>458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79998168889431442"/>
  </sheetPr>
  <dimension ref="A2:O5"/>
  <sheetViews>
    <sheetView showGridLines="0" workbookViewId="0">
      <selection activeCell="L29" sqref="L29"/>
    </sheetView>
  </sheetViews>
  <sheetFormatPr baseColWidth="10" defaultColWidth="8.6640625" defaultRowHeight="13" x14ac:dyDescent="0.15"/>
  <cols>
    <col min="1" max="1" width="20.5" style="138" customWidth="1"/>
    <col min="2" max="2" width="10.5" style="138" customWidth="1"/>
    <col min="3" max="3" width="10.5" style="138" bestFit="1" customWidth="1"/>
    <col min="4" max="6" width="8.6640625" style="138"/>
    <col min="7" max="7" width="11" style="138" customWidth="1"/>
    <col min="8" max="8" width="8.83203125" style="138" bestFit="1" customWidth="1"/>
    <col min="9" max="9" width="8.6640625" style="138"/>
    <col min="10" max="10" width="9.6640625" style="138" bestFit="1" customWidth="1"/>
    <col min="11" max="11" width="19.6640625" style="138" bestFit="1" customWidth="1"/>
    <col min="12" max="13" width="11.5" style="138" bestFit="1" customWidth="1"/>
    <col min="14" max="15" width="11.33203125" style="138" bestFit="1" customWidth="1"/>
    <col min="16" max="16" width="12.6640625" style="138" customWidth="1"/>
    <col min="17" max="17" width="11.5" style="138" bestFit="1" customWidth="1"/>
    <col min="18" max="16384" width="8.6640625" style="138"/>
  </cols>
  <sheetData>
    <row r="2" spans="1:15" x14ac:dyDescent="0.15">
      <c r="A2" s="144" t="s">
        <v>18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14" thickBot="1" x14ac:dyDescent="0.2"/>
    <row r="4" spans="1:15" ht="14" thickBot="1" x14ac:dyDescent="0.2">
      <c r="A4" s="142" t="s">
        <v>4</v>
      </c>
      <c r="B4" s="141">
        <v>0</v>
      </c>
      <c r="D4" s="138" t="s">
        <v>369</v>
      </c>
    </row>
    <row r="5" spans="1:15" x14ac:dyDescent="0.15">
      <c r="D5" s="138" t="s">
        <v>370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Welcome</vt:lpstr>
      <vt:lpstr>Pitch Budget</vt:lpstr>
      <vt:lpstr>Payment Tracking</vt:lpstr>
      <vt:lpstr>INCOME</vt:lpstr>
      <vt:lpstr>1. Ticket Sales</vt:lpstr>
      <vt:lpstr>2. Participation Fees</vt:lpstr>
      <vt:lpstr>3. Programme Sales</vt:lpstr>
      <vt:lpstr>4. Programme Ads</vt:lpstr>
      <vt:lpstr>5. Sponsorship</vt:lpstr>
      <vt:lpstr>6. Fundraising Events</vt:lpstr>
      <vt:lpstr>7. Donations</vt:lpstr>
      <vt:lpstr>EXPENDITURE</vt:lpstr>
      <vt:lpstr>1-3 Venue Rights Scores</vt:lpstr>
      <vt:lpstr>4. Band</vt:lpstr>
      <vt:lpstr>5. - 9. Set Lights etc</vt:lpstr>
      <vt:lpstr>10. Transport</vt:lpstr>
      <vt:lpstr>11. Marketing</vt:lpstr>
      <vt:lpstr>12. Rehearsal Venue</vt:lpstr>
      <vt:lpstr>Participation fees</vt:lpstr>
      <vt:lpstr>Programme Ads</vt:lpstr>
      <vt:lpstr>Ticket Income_Budget</vt:lpstr>
      <vt:lpstr>Income Budget Info</vt:lpstr>
      <vt:lpstr>Rehearsal Space_Budget</vt:lpstr>
      <vt:lpstr>Rehearsal Space_Actuals</vt:lpstr>
      <vt:lpstr>Sound</vt:lpstr>
      <vt:lpstr>Scenario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Binny Sood</dc:creator>
  <cp:lastModifiedBy>Rose, Alexis</cp:lastModifiedBy>
  <dcterms:created xsi:type="dcterms:W3CDTF">2016-09-24T15:41:24Z</dcterms:created>
  <dcterms:modified xsi:type="dcterms:W3CDTF">2021-08-25T19:45:42Z</dcterms:modified>
</cp:coreProperties>
</file>